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mhgKlIOUfoM0W861UX7bNHPPnSnIsvdowejECvc+09FXkubWVAdogaemOx4ODSCthOB39Zd72aAaRi40UOUN2g==" workbookSaltValue="GNNNGUay1nXCt8eWCybjC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R22" i="14" s="1"/>
  <c r="P21" i="14"/>
  <c r="P20" i="14"/>
  <c r="P19" i="14"/>
  <c r="P18" i="14"/>
  <c r="R18" i="14" s="1"/>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S14" i="16"/>
  <c r="V12" i="21"/>
  <c r="P14" i="16"/>
  <c r="F13" i="16"/>
  <c r="Z14" i="17"/>
  <c r="R30" i="17"/>
  <c r="K26" i="2"/>
  <c r="N26" i="2"/>
  <c r="M23" i="2"/>
  <c r="K30" i="2"/>
  <c r="F30" i="17"/>
  <c r="F26" i="17"/>
  <c r="F14" i="7"/>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H32" i="20"/>
  <c r="F32" i="20"/>
  <c r="G26" i="14"/>
  <c r="S32" i="20"/>
  <c r="AQ32" i="21"/>
  <c r="AJ32" i="20"/>
  <c r="G30" i="14"/>
  <c r="G23" i="14"/>
  <c r="U18" i="11"/>
  <c r="AX32" i="20"/>
  <c r="Y32" i="20"/>
  <c r="L32" i="20"/>
  <c r="AG32" i="20"/>
  <c r="T32" i="21"/>
  <c r="AF32" i="20"/>
  <c r="K32" i="20"/>
  <c r="O17" i="11"/>
  <c r="F28" i="2" l="1"/>
  <c r="BF17" i="8"/>
  <c r="E23"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R13" i="17"/>
  <c r="S13" i="17" s="1"/>
  <c r="P13" i="14"/>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9"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<sst xmlns="http://schemas.openxmlformats.org/spreadsheetml/2006/main" count="2682" uniqueCount="1192">
  <si>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</si>
  <si>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</si>
  <si>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</si>
  <si>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</si>
  <si>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</si>
  <si>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</si>
  <si>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</si>
  <si>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</si>
  <si>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</si>
  <si>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</si>
  <si>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</si>
  <si>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</si>
  <si>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</si>
  <si>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</si>
  <si>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</si>
  <si>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</si>
  <si>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</si>
  <si>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</si>
  <si>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</si>
  <si>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</si>
  <si>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</si>
  <si>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</si>
  <si>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</si>
  <si>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</si>
  <si>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</si>
  <si>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</si>
  <si>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</si>
  <si>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</si>
  <si>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</si>
  <si>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</si>
  <si>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</si>
  <si>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</si>
  <si>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</si>
  <si>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</si>
  <si>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</si>
  <si>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</si>
  <si>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</si>
  <si>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</si>
  <si>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</si>
  <si>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</si>
  <si>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</si>
  <si>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</si>
  <si>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</si>
  <si>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</si>
  <si>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</si>
  <si>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</si>
  <si>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</si>
  <si>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</si>
  <si>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</si>
  <si>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</si>
  <si>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</si>
  <si>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</si>
  <si>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</si>
  <si>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</si>
  <si>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</si>
  <si>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</si>
  <si>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</si>
  <si>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</si>
  <si>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</si>
  <si>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</si>
  <si>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</si>
  <si>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</si>
  <si>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</si>
  <si>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</si>
  <si>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</si>
  <si>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</si>
  <si>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</si>
  <si>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</si>
  <si>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</si>
  <si>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</si>
  <si>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</si>
  <si>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</si>
  <si>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</si>
  <si>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</si>
  <si>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</si>
  <si>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</si>
  <si>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</si>
  <si>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</si>
  <si>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</si>
  <si>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</si>
  <si>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</si>
  <si>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</si>
  <si>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</si>
  <si>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</si>
  <si>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</si>
  <si>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</si>
  <si>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</si>
  <si>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</si>
  <si>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</si>
  <si>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</si>
  <si>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</si>
  <si>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</si>
  <si>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</si>
  <si>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</si>
  <si>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</si>
  <si>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</si>
  <si>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</si>
  <si>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</si>
  <si>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</si>
  <si>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</si>
  <si>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</si>
  <si>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</si>
  <si>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</si>
  <si>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</si>
  <si>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</si>
  <si>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</si>
  <si>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</si>
  <si>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</si>
  <si>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</si>
  <si>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</si>
  <si>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</si>
  <si>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</si>
  <si>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</si>
  <si>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</si>
  <si>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</si>
  <si>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</si>
  <si>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</si>
  <si>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</si>
  <si>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</si>
  <si>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</si>
  <si>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</si>
  <si>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</si>
  <si>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</si>
  <si>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</si>
  <si>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</si>
  <si>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</si>
  <si>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</si>
  <si>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</si>
  <si>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</si>
  <si>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</si>
  <si>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</si>
  <si>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</si>
  <si>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</si>
  <si>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</si>
  <si>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</si>
  <si>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</si>
  <si>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</si>
  <si>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</si>
  <si>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</si>
  <si>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</si>
  <si>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</si>
  <si>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</si>
  <si>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</si>
  <si>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</si>
  <si>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</si>
  <si>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</si>
  <si>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</si>
  <si>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</si>
  <si>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</si>
  <si>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</si>
  <si>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</si>
  <si>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</si>
  <si>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</si>
  <si>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</si>
  <si>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</si>
  <si>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</si>
  <si>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</si>
  <si>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</si>
  <si>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</si>
  <si>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</si>
  <si>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</si>
  <si>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</si>
  <si>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</si>
  <si>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</si>
  <si>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</si>
  <si>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</si>
  <si>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</si>
  <si>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</si>
  <si>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</si>
  <si>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</si>
  <si>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</si>
  <si>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</si>
  <si>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</si>
  <si>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</si>
  <si>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</si>
  <si>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</si>
  <si>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</si>
  <si>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</si>
  <si>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</si>
  <si>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</si>
  <si>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</si>
  <si>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</si>
  <si>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</si>
  <si>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</si>
  <si>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</si>
  <si>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</si>
  <si>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</si>
  <si>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</si>
  <si>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</si>
  <si>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</si>
  <si>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</si>
  <si>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</si>
  <si>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</si>
  <si>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</si>
  <si>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</si>
  <si>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</si>
  <si>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</si>
  <si>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</si>
  <si>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</si>
  <si>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</si>
  <si>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</si>
  <si>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</si>
  <si>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</si>
  <si>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</si>
  <si>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</si>
  <si>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</si>
  <si>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</si>
  <si>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</si>
  <si>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</si>
  <si>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</si>
  <si>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</si>
  <si>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</si>
  <si>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</si>
  <si>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</si>
  <si>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</si>
  <si>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</si>
  <si>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</si>
  <si>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</si>
  <si>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</si>
  <si>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</si>
  <si>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</si>
  <si>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</si>
  <si>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</si>
  <si>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</si>
  <si>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</si>
  <si>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</si>
  <si>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</si>
  <si>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</si>
  <si>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</si>
  <si>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</si>
  <si>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</si>
  <si>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</si>
  <si>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</si>
  <si>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</si>
  <si>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</si>
  <si>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</si>
  <si>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</si>
  <si>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</si>
  <si>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</si>
  <si>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</si>
  <si>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</si>
  <si>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</si>
  <si>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</si>
  <si>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</si>
  <si>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</si>
  <si>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</si>
  <si>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</si>
  <si>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</si>
  <si>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</si>
  <si>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</si>
  <si>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</si>
  <si>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</si>
  <si>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</si>
  <si>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</si>
  <si>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</si>
  <si>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</si>
  <si>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</si>
  <si>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</si>
  <si>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</si>
  <si>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</si>
  <si>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</si>
  <si>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</si>
  <si>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</si>
  <si>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</si>
  <si>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</si>
  <si>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</si>
  <si>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</si>
  <si>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</si>
  <si>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</si>
  <si>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</si>
  <si>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</si>
  <si>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</si>
  <si>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</si>
  <si>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</si>
  <si>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</si>
  <si>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</si>
  <si>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</si>
  <si>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</si>
  <si>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</si>
  <si>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</si>
  <si>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</si>
  <si>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</si>
  <si>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</si>
  <si>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</si>
  <si>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</si>
  <si>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</si>
  <si>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</si>
  <si>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</si>
  <si>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</si>
  <si>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</si>
  <si>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</si>
  <si>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</si>
  <si>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</si>
  <si>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</si>
  <si>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</si>
  <si>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</si>
  <si>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</si>
  <si>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</si>
  <si>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</si>
  <si>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</si>
  <si>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</si>
  <si>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</si>
  <si>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</si>
  <si>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</si>
  <si>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</si>
  <si>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</si>
  <si>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</si>
  <si>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</si>
  <si>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</si>
  <si>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</si>
  <si>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</si>
  <si>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</si>
  <si>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</si>
  <si>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</si>
  <si>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</si>
  <si>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</si>
  <si>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</si>
  <si>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</si>
  <si>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</si>
  <si>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</si>
  <si>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</si>
  <si>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</si>
  <si>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</si>
  <si>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</si>
  <si>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</si>
  <si>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</si>
  <si>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</si>
  <si>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</si>
  <si>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</si>
  <si>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</si>
  <si>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</si>
  <si>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</si>
  <si>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</si>
  <si>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</si>
  <si>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</si>
  <si>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</si>
  <si>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</si>
  <si>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</si>
  <si>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</si>
  <si>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</si>
  <si>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</si>
  <si>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</si>
  <si>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</si>
  <si>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</si>
  <si>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</si>
  <si>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</si>
  <si>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</si>
  <si>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</si>
  <si>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</si>
  <si>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</si>
  <si>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</si>
  <si>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</si>
  <si>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</si>
  <si>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</si>
  <si>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</si>
  <si>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</si>
  <si>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</si>
  <si>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</si>
  <si>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</si>
  <si>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</si>
  <si>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</si>
  <si>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</si>
  <si>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</si>
  <si>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</si>
  <si>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</si>
  <si>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</si>
  <si>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</si>
  <si>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</si>
  <si>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</si>
  <si>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</si>
  <si>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</si>
  <si>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</si>
  <si>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</si>
  <si>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</si>
  <si>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</si>
  <si>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</si>
  <si>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</si>
  <si>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</si>
  <si>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</si>
  <si>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</si>
  <si>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</si>
  <si>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</si>
  <si>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</si>
  <si>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</si>
  <si>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</si>
  <si>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</si>
  <si>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</si>
  <si>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</si>
  <si>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</si>
  <si>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</si>
  <si>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</si>
  <si>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</si>
  <si>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</si>
  <si>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</si>
  <si>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</si>
  <si>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</si>
  <si>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</si>
  <si>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</si>
  <si>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</si>
  <si>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</si>
  <si>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</si>
  <si>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</si>
  <si>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</si>
  <si>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</si>
  <si>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</si>
  <si>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</si>
  <si>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</si>
  <si>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</si>
  <si>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</si>
  <si>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</si>
  <si>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</si>
  <si>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</si>
  <si>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</si>
  <si>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</si>
  <si>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</si>
  <si>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</si>
  <si>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</si>
  <si>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</si>
  <si>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</si>
  <si>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</si>
  <si>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</si>
  <si>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</si>
  <si>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</si>
  <si>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</si>
  <si>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</si>
  <si>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</si>
  <si>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</si>
  <si>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</si>
  <si>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</si>
  <si>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</si>
  <si>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</si>
  <si>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</si>
  <si>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</si>
  <si>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</si>
  <si>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</si>
  <si>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</si>
  <si>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</si>
  <si>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</si>
  <si>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</si>
  <si>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</si>
  <si>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</si>
  <si>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</si>
  <si>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</si>
  <si>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</si>
  <si>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</si>
  <si>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</si>
  <si>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</si>
  <si>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</si>
  <si>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</si>
  <si>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</si>
  <si>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</si>
  <si>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</si>
  <si>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</si>
  <si>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</si>
  <si>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</si>
  <si>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</si>
  <si>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</si>
  <si>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</si>
  <si>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</si>
  <si>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</si>
  <si>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</si>
  <si>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</si>
  <si>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</si>
  <si>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</si>
  <si>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</si>
  <si>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</si>
  <si>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</si>
  <si>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</si>
  <si>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</si>
  <si>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</si>
  <si>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</si>
  <si>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</si>
  <si>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</si>
  <si>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</si>
  <si>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</si>
  <si>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</si>
  <si>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</si>
  <si>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</si>
  <si>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</si>
  <si>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</si>
  <si>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</si>
  <si>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</si>
  <si>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</si>
  <si>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</si>
  <si>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</si>
  <si>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</si>
  <si>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</si>
  <si>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</si>
  <si>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</si>
  <si>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</si>
  <si>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</si>
  <si>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</si>
  <si>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</si>
  <si>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</si>
  <si>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</si>
  <si>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</si>
  <si>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</si>
  <si>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</si>
  <si>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</si>
  <si>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</si>
  <si>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</si>
  <si>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</si>
  <si>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</si>
  <si>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</si>
  <si>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</si>
  <si>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</si>
  <si>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</si>
  <si>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</si>
  <si>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</si>
  <si>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</si>
  <si>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</si>
  <si>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</si>
  <si>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</si>
  <si>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</si>
  <si>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</si>
  <si>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</si>
  <si>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</si>
  <si>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</si>
  <si>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</si>
  <si>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</si>
  <si>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</si>
  <si>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</si>
  <si>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</si>
  <si>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</si>
  <si>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</si>
  <si>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</si>
  <si>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</si>
  <si>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</si>
  <si>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</si>
  <si>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</si>
  <si>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</si>
  <si>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</si>
  <si>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</si>
  <si>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</si>
  <si>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</si>
  <si>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</si>
  <si>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</si>
  <si>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</si>
  <si>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</si>
  <si>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</si>
  <si>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</si>
  <si>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</si>
  <si>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</si>
  <si>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</si>
  <si>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</si>
  <si>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</si>
  <si>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</si>
  <si>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</si>
  <si>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</si>
  <si>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</si>
  <si>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</si>
  <si>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</si>
  <si>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</si>
  <si>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</si>
  <si>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</si>
  <si>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</si>
  <si>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</si>
  <si>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</si>
  <si>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</si>
  <si>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</si>
  <si>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</si>
  <si>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</si>
  <si>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</si>
  <si>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</si>
  <si>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</si>
  <si>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</si>
  <si>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</si>
  <si>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</si>
  <si>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</si>
  <si>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</si>
  <si>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</si>
  <si>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</si>
  <si>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</si>
  <si>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</si>
  <si>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</si>
  <si>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</si>
  <si>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</si>
  <si>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</si>
  <si>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</si>
  <si>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</si>
  <si>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</si>
  <si>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</si>
  <si>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</si>
  <si>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</si>
  <si>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</si>
  <si>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</si>
  <si>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</si>
  <si>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</si>
  <si>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</si>
  <si>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</si>
  <si>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</si>
  <si>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</si>
  <si>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</si>
  <si>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</si>
  <si>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</si>
  <si>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</si>
  <si>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</si>
  <si>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</si>
  <si>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</si>
  <si>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</si>
  <si>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</si>
  <si>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</si>
  <si>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</si>
  <si>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</si>
  <si>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</si>
  <si>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</si>
  <si>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</si>
  <si>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</si>
  <si>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</si>
  <si>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</si>
  <si>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</si>
  <si>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</si>
  <si>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</si>
  <si>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</si>
  <si>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</si>
  <si>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</si>
  <si>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</si>
  <si>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</si>
  <si>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</si>
  <si>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</si>
  <si>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</si>
  <si>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</si>
  <si>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</si>
  <si>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</si>
  <si>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</si>
  <si>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</si>
  <si>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</si>
  <si>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</si>
  <si>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</si>
  <si>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</si>
  <si>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</si>
  <si>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</si>
  <si>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</si>
  <si>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</si>
  <si>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</si>
  <si>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</si>
  <si>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</si>
  <si>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</si>
  <si>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</si>
  <si>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</si>
  <si>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</si>
  <si>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</si>
  <si>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</si>
  <si>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</si>
  <si>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</si>
  <si>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</si>
  <si>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</si>
  <si>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</si>
  <si>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</si>
  <si>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</si>
  <si>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</si>
  <si>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</si>
  <si>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</si>
  <si>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</si>
  <si>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</si>
  <si>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</si>
  <si>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</si>
  <si>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</si>
  <si>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</si>
  <si>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</si>
  <si>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</si>
  <si>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</si>
  <si>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</si>
  <si>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</si>
  <si>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</si>
  <si>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</si>
  <si>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</si>
  <si>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</si>
  <si>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</si>
  <si>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</si>
  <si>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</si>
  <si>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</si>
  <si>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</si>
  <si>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</si>
  <si>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</si>
  <si>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</si>
  <si>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</si>
  <si>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</si>
  <si>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</si>
  <si>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</si>
  <si>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</si>
  <si>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</si>
  <si>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</si>
  <si>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</si>
  <si>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</si>
  <si>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</si>
  <si>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</si>
  <si>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</si>
  <si>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</si>
  <si>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</si>
  <si>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</si>
  <si>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</si>
  <si>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</si>
  <si>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</si>
  <si>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</si>
  <si>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</si>
  <si>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</si>
  <si>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</si>
  <si>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</si>
  <si>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</si>
  <si>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</si>
  <si>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</si>
  <si>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</si>
  <si>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</si>
  <si>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</si>
  <si>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</si>
  <si>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</si>
  <si>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</si>
  <si>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</si>
  <si>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</si>
  <si>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</si>
  <si>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</si>
  <si>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</si>
  <si>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</si>
  <si>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</si>
  <si>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</si>
  <si>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</si>
  <si>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</si>
  <si>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</si>
  <si>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</si>
  <si>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</si>
  <si>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</si>
  <si>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</si>
  <si>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</si>
  <si>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</si>
  <si>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</si>
  <si>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</si>
  <si>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</si>
  <si>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</si>
  <si>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</si>
  <si>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</si>
  <si>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</si>
  <si>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</si>
  <si>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</si>
  <si>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</si>
  <si>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</si>
  <si>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</si>
  <si>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</si>
  <si>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</si>
  <si>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</si>
  <si>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</si>
  <si>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</si>
  <si>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</si>
  <si>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</si>
  <si>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</si>
  <si>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</si>
  <si>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</si>
  <si>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</si>
  <si>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</si>
  <si>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</si>
  <si>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</si>
  <si>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</si>
  <si>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</si>
  <si>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</si>
  <si>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</si>
  <si>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</si>
  <si>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</si>
  <si>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</si>
  <si>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</si>
  <si>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</si>
  <si>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</si>
  <si>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</si>
  <si>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</si>
  <si>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</si>
  <si>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</si>
  <si>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</si>
  <si>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</si>
  <si>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</si>
  <si>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</si>
  <si>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</si>
  <si>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</si>
  <si>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</si>
  <si>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</si>
  <si>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</si>
  <si>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</si>
  <si>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</si>
  <si>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</si>
  <si>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</si>
  <si>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</si>
  <si>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</si>
  <si>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</si>
  <si>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</si>
  <si>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</si>
  <si>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</si>
  <si>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</si>
  <si>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</si>
  <si>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</si>
  <si>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</si>
  <si>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</si>
  <si>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</si>
  <si>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</si>
  <si>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</si>
  <si>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</si>
  <si>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</si>
  <si>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</si>
  <si>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</si>
  <si>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</si>
  <si>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</si>
  <si>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</si>
  <si>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</si>
  <si>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</si>
  <si>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</si>
  <si>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</si>
  <si>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</si>
  <si>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</si>
  <si>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</si>
  <si>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</si>
  <si>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</si>
  <si>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</si>
  <si>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</si>
  <si>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</si>
  <si>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</si>
  <si>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</si>
  <si>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</si>
  <si>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</si>
  <si>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</si>
  <si>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</si>
  <si>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</si>
  <si>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</si>
  <si>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</si>
  <si>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</si>
  <si>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</si>
  <si>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</si>
  <si>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</si>
  <si>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</si>
  <si>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</si>
  <si>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</si>
  <si>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</si>
  <si>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</si>
  <si>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</si>
  <si>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</si>
  <si>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</si>
  <si>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</si>
  <si>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</si>
  <si>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</si>
  <si>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</si>
  <si>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</si>
  <si>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</si>
  <si>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</si>
  <si>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</si>
  <si>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</si>
  <si>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</si>
  <si>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</si>
  <si>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</si>
  <si>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</si>
  <si>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</si>
  <si>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</si>
  <si>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</si>
  <si>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</si>
  <si>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</si>
  <si>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</si>
  <si>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</si>
  <si>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</si>
  <si>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</si>
  <si>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</si>
  <si>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</si>
  <si>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</si>
  <si>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</si>
  <si>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</si>
  <si>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</si>
  <si>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</si>
  <si>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</si>
  <si>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</si>
  <si>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</si>
  <si>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</si>
  <si>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</si>
  <si>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</si>
  <si>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</si>
  <si>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</si>
  <si>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</si>
  <si>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</si>
  <si>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</si>
  <si>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</si>
  <si>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</si>
  <si>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</si>
  <si>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</si>
  <si>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</si>
  <si>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</si>
  <si>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</si>
  <si>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</si>
  <si>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</si>
  <si>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</si>
  <si>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</si>
  <si>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</si>
  <si>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</si>
  <si>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</si>
  <si>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</si>
  <si>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</si>
  <si>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</si>
  <si>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</si>
  <si>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</si>
  <si>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</si>
  <si>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</si>
  <si>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</si>
  <si>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</si>
  <si>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</si>
  <si>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</si>
  <si>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</si>
  <si>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</si>
  <si>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</si>
  <si>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</si>
  <si>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</si>
  <si>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</si>
  <si>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</si>
  <si>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</si>
  <si>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</si>
  <si>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</si>
  <si>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</si>
  <si>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</si>
  <si>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</si>
  <si>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</si>
  <si>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</si>
  <si>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</si>
  <si>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</si>
  <si>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</si>
  <si>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</si>
  <si>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</si>
  <si>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</si>
  <si>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</si>
  <si>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</si>
  <si>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</si>
  <si>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</si>
  <si>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</si>
  <si>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</si>
  <si>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</si>
  <si>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</si>
  <si>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</si>
  <si>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</si>
  <si>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</si>
  <si>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</si>
  <si>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</si>
  <si>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</si>
  <si>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</si>
  <si>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</si>
  <si>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</si>
  <si>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</si>
  <si>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</si>
  <si>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</si>
  <si>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</si>
  <si>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</si>
  <si>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</si>
  <si>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</si>
  <si>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</si>
  <si>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</si>
  <si>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</si>
  <si>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</si>
  <si>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</si>
  <si>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</si>
  <si>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</si>
  <si>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</si>
  <si>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</si>
  <si>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</si>
  <si>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</si>
  <si>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</si>
  <si>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</si>
  <si>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</si>
  <si>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</si>
  <si>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</si>
  <si>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</si>
  <si>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</si>
  <si>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</si>
  <si>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</si>
  <si>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</si>
  <si>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</si>
  <si>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</si>
  <si>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</si>
  <si>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</si>
  <si>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</si>
  <si>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</si>
  <si>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</si>
  <si>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</si>
  <si>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</si>
  <si>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</si>
  <si>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</si>
  <si>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</si>
  <si>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</si>
  <si>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</si>
  <si>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</si>
  <si>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</si>
  <si>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</si>
  <si>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</si>
  <si>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</si>
  <si>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</si>
  <si>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</si>
  <si>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</si>
  <si>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</si>
  <si>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</si>
  <si>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</si>
  <si>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</si>
  <si>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</si>
  <si>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</si>
  <si>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</si>
  <si>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</si>
  <si>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</si>
  <si>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</si>
  <si>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</si>
  <si>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</si>
  <si>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</si>
  <si>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</si>
  <si>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</si>
  <si>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</si>
  <si>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</si>
  <si>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</si>
  <si>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</si>
  <si>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</si>
  <si>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</si>
  <si>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</si>
  <si>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</si>
  <si>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</si>
  <si>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</si>
  <si>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</si>
  <si>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</si>
  <si>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</si>
  <si>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</si>
  <si>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</si>
  <si>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</si>
  <si>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</si>
  <si>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</si>
  <si>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</si>
  <si>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</si>
  <si>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</si>
  <si>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</si>
  <si>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</si>
  <si>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</si>
  <si>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</si>
  <si>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</si>
  <si>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</si>
  <si>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</si>
  <si>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</si>
  <si>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</si>
  <si>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</si>
  <si>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</si>
  <si>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</si>
  <si>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</si>
  <si>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</si>
  <si>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</si>
  <si>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</si>
  <si>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</si>
  <si>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</si>
  <si>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</si>
  <si>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</si>
  <si>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</si>
  <si>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</si>
  <si>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</si>
  <si>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</si>
  <si>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</si>
  <si>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</si>
  <si>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</si>
  <si>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</si>
  <si>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</si>
  <si>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</si>
  <si>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</si>
  <si>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</si>
  <si>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</si>
  <si>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</si>
  <si>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</si>
  <si>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</si>
  <si>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</si>
  <si>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</si>
  <si>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</si>
  <si>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</si>
  <si>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</si>
  <si>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</si>
  <si>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</si>
  <si>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</si>
  <si>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</si>
  <si>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</si>
  <si>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</si>
  <si>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</si>
  <si>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</si>
  <si>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</si>
  <si>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</si>
  <si>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</si>
  <si>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</si>
  <si>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</si>
  <si>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</si>
  <si>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</si>
  <si>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</si>
  <si>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</si>
  <si>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</si>
  <si>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</si>
  <si>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</si>
  <si>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</si>
  <si>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</si>
  <si>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</si>
  <si>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</si>
  <si>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</si>
  <si>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</si>
  <si>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</si>
  <si>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</si>
  <si>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</si>
  <si>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</si>
  <si>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</si>
  <si>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</si>
  <si>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</si>
  <si>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</si>
  <si>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</si>
  <si>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</si>
  <si>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</si>
  <si>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</si>
  <si>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</si>
  <si>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</si>
  <si>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</si>
  <si>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</si>
  <si>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</si>
  <si>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</si>
  <si>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</si>
  <si>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</si>
  <si>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</si>
  <si>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</si>
  <si>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</si>
  <si>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</si>
  <si>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</si>
  <si>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</si>
  <si>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</si>
  <si>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</si>
  <si>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</si>
  <si>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</si>
  <si>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</si>
  <si>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</si>
  <si>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</si>
  <si>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</si>
  <si>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</si>
  <si>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</si>
  <si>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</si>
  <si>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</si>
  <si>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</si>
  <si>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</si>
  <si>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</si>
  <si>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</si>
  <si>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</si>
  <si>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</si>
  <si>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</si>
  <si>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</si>
  <si>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</si>
  <si>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</si>
  <si>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</si>
  <si>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</si>
  <si>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</si>
  <si>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</si>
  <si>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</si>
  <si>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</si>
  <si>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</si>
  <si>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</si>
  <si>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</si>
  <si>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</si>
  <si>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</si>
  <si>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</si>
  <si>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</si>
  <si>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</si>
  <si>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</si>
  <si>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</si>
  <si>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</si>
  <si>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</si>
  <si>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</si>
  <si>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</si>
  <si>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</si>
  <si>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</si>
  <si>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</si>
  <si>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</si>
  <si>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</si>
  <si>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</si>
  <si>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</si>
  <si>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</si>
  <si>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</si>
  <si>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</si>
  <si>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</si>
  <si>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</si>
  <si>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</si>
  <si>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</si>
  <si>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</si>
  <si>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</si>
  <si>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</si>
  <si>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</si>
  <si>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</si>
  <si>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</si>
  <si>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</si>
  <si>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</si>
  <si>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</si>
  <si>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</si>
  <si>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</si>
  <si>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</si>
  <si>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</si>
  <si>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</si>
  <si>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</si>
  <si>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</si>
  <si>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</si>
  <si>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</si>
  <si>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</si>
  <si>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</si>
  <si>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PALENCIA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</si>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</sst>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Bfpov7oTvMSf8hvxZMDjkJC/0h8lZMbWKNJAKLOqpL4XleIVcNaWedwscC1wzxOmc639/ac0jBEhmhAxgR6Ug==" saltValue="cH/0rQdjmHEqEVoIJAqz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47</v>
      </c>
      <c r="D10" s="239">
        <f>IF(ISNUMBER(Datos!I10),Datos!I10," - ")</f>
        <v>47</v>
      </c>
      <c r="E10" s="240">
        <f>IF(ISNUMBER(Datos!J10),Datos!J10," - ")</f>
        <v>18</v>
      </c>
      <c r="F10" s="240">
        <f>IF(ISNUMBER(Datos!K10),Datos!K10," - ")</f>
        <v>5</v>
      </c>
      <c r="G10" s="1390" t="str">
        <f>IF(Datos!E10&lt;&gt;"",Datos!E10,Datos!D10)</f>
        <v>37</v>
      </c>
      <c r="H10" s="241">
        <f>IF(ISNUMBER(Datos!L10),Datos!L10," - ")</f>
        <v>60</v>
      </c>
      <c r="I10" s="1400" t="str">
        <f>IF(ISNUMBER(Datos!AS10/Datos!BM10),Datos!AS10/Datos!BM10," - ")</f>
        <v xml:space="preserve"> - </v>
      </c>
      <c r="J10" s="1401">
        <f>IF(ISNUMBER(Datos!BY10/Datos!CN10),Datos!BY10/Datos!CN10," - ")</f>
        <v>0</v>
      </c>
      <c r="K10" s="244">
        <f t="shared" ref="K10:K13" si="1">IF(ISNUMBER((E10-F10)/C10),(E10-F10)/C10," - ")</f>
        <v>0.27659574468085107</v>
      </c>
      <c r="L10" s="1402">
        <f>IF(ISNUMBER(NºAsuntos!I10/NºAsuntos!G10),(NºAsuntos!I10/NºAsuntos!G10)*11," - ")</f>
        <v>132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27.402261712439419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47</v>
      </c>
      <c r="D14" s="1407">
        <f>SUBTOTAL(9,D9:D13)</f>
        <v>47</v>
      </c>
      <c r="E14" s="1408">
        <f>SUBTOTAL(9,E9:E13)</f>
        <v>18</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2027</v>
      </c>
      <c r="D17" s="239">
        <f>IF(ISNUMBER(IF(D_I="SI",Datos!I17,Datos!I17+Datos!AC17)),IF(D_I="SI",Datos!I17,Datos!I17+Datos!AC17)," - ")</f>
        <v>2010</v>
      </c>
      <c r="E17" s="240">
        <f>IF(ISNUMBER(IF(D_I="SI",Datos!J17,Datos!J17+Datos!AD17)),IF(D_I="SI",Datos!J17,Datos!J17+Datos!AD17)," - ")</f>
        <v>1757</v>
      </c>
      <c r="F17" s="240">
        <f>IF(ISNUMBER(IF(D_I="SI",Datos!K17,Datos!K17+Datos!AE17)),IF(D_I="SI",Datos!K17,Datos!K17+Datos!AE17)," - ")</f>
        <v>1821</v>
      </c>
      <c r="G17" s="1390" t="str">
        <f>IF(Datos!E17&lt;&gt;"",Datos!E17,Datos!D17)</f>
        <v>04</v>
      </c>
      <c r="H17" s="241">
        <f>IF(ISNUMBER(IF(D_I="SI",Datos!L17,Datos!L17+Datos!AF17)),IF(D_I="SI",Datos!L17,Datos!L17+Datos!AF17)," - ")</f>
        <v>1963</v>
      </c>
      <c r="I17" s="1400" t="str">
        <f>IF(ISNUMBER(Datos!AS17/Datos!BM17),Datos!AS17/Datos!BM17," - ")</f>
        <v xml:space="preserve"> - </v>
      </c>
      <c r="J17" s="1401">
        <f>IF(ISNUMBER(Datos!BY17/Datos!CN17),Datos!BY17/Datos!CN17," - ")</f>
        <v>0</v>
      </c>
      <c r="K17" s="244">
        <f t="shared" si="3"/>
        <v>-3.1573754316724226E-2</v>
      </c>
      <c r="L17" s="1402">
        <f>IF(ISNUMBER(NºAsuntos!I17/NºAsuntos!G17),(NºAsuntos!I17/NºAsuntos!G17)*11," - ")</f>
        <v>11.857770455793521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321</v>
      </c>
      <c r="D18" s="239">
        <f>IF(ISNUMBER(IF(D_I="SI",Datos!I18,Datos!I18+Datos!AC18)),IF(D_I="SI",Datos!I18,Datos!I18+Datos!AC18)," - ")</f>
        <v>321</v>
      </c>
      <c r="E18" s="240">
        <f>IF(ISNUMBER(IF(D_I="SI",Datos!J18,Datos!J18+Datos!AD18)),IF(D_I="SI",Datos!J18,Datos!J18+Datos!AD18)," - ")</f>
        <v>106</v>
      </c>
      <c r="F18" s="240">
        <f>IF(ISNUMBER(IF(D_I="SI",Datos!K18,Datos!K18+Datos!AE18)),IF(D_I="SI",Datos!K18,Datos!K18+Datos!AE18)," - ")</f>
        <v>118</v>
      </c>
      <c r="G18" s="1390" t="str">
        <f>IF(Datos!E18&lt;&gt;"",Datos!E18,Datos!D18)</f>
        <v>37</v>
      </c>
      <c r="H18" s="241">
        <f>IF(ISNUMBER(IF(D_I="SI",Datos!L18,Datos!L18+Datos!AF18)),IF(D_I="SI",Datos!L18,Datos!L18+Datos!AF18)," - ")</f>
        <v>309</v>
      </c>
      <c r="I18" s="1400" t="str">
        <f>IF(ISNUMBER(Datos!AS18/Datos!BM18),Datos!AS18/Datos!BM18," - ")</f>
        <v xml:space="preserve"> - </v>
      </c>
      <c r="J18" s="1401" t="str">
        <f>IF(ISNUMBER((Datos!BY18+Datos!BZ18)/Datos!CN18),(Datos!BY18+Datos!BZ18)/Datos!CN18," - ")</f>
        <v xml:space="preserve"> - </v>
      </c>
      <c r="K18" s="244">
        <f t="shared" si="3"/>
        <v>-3.7383177570093455E-2</v>
      </c>
      <c r="L18" s="1402">
        <f>IF(ISNUMBER(NºAsuntos!I18/NºAsuntos!G18),(NºAsuntos!I18/NºAsuntos!G18)*11," - ")</f>
        <v>28.805084745762713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2348</v>
      </c>
      <c r="D23" s="1407">
        <f>SUBTOTAL(9,D16:D22)</f>
        <v>2331</v>
      </c>
      <c r="E23" s="1408">
        <f>SUBTOTAL(9,E16:E22)</f>
        <v>1863</v>
      </c>
      <c r="F23" s="1408">
        <f>SUBTOTAL(9,F16:F22)</f>
        <v>1939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2395</v>
      </c>
      <c r="D31" s="1435">
        <f>SUBTOTAL(9,D9:D30)</f>
        <v>2378</v>
      </c>
      <c r="E31" s="1436">
        <f>SUBTOTAL(9,E9:E30)</f>
        <v>1881</v>
      </c>
      <c r="F31" s="1436">
        <f>SUBTOTAL(9,F9:F30)</f>
        <v>1944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mJyEMCK8Oym5CwDAC8i8o0y4CP+1r7eYaNvvZr4RIXwZL+lGOMWOtpa0NJeC1uAiIs2z9UW+bFO9SzuPT+9KA==" saltValue="x/e2cBSIqoa0L02s3RMpe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Fe1OJOJqZ2K5GpARIyyaE/HBLV6S8tKawrgN50GZ51k1vKIBQnceTbERjvAQeWpC11E31Jnuif8EkH5qLZbaw==" saltValue="qnnVuh0fNZBrf5ReWPYB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47</v>
      </c>
      <c r="J10" s="194">
        <v>18</v>
      </c>
      <c r="K10" s="194">
        <v>5</v>
      </c>
      <c r="L10" s="194">
        <v>60</v>
      </c>
      <c r="M10" s="194">
        <v>1</v>
      </c>
      <c r="N10" s="194">
        <v>1</v>
      </c>
      <c r="O10" s="194">
        <v>2</v>
      </c>
      <c r="P10" s="194">
        <v>0</v>
      </c>
      <c r="Q10" s="194">
        <v>0</v>
      </c>
      <c r="R10" s="194">
        <v>0</v>
      </c>
      <c r="S10" s="194">
        <v>46</v>
      </c>
      <c r="T10" s="194">
        <v>19</v>
      </c>
      <c r="U10" s="194">
        <v>8</v>
      </c>
      <c r="V10" s="194">
        <v>57</v>
      </c>
      <c r="W10" s="194">
        <v>7</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46</v>
      </c>
      <c r="AZ10" s="139">
        <f t="shared" si="0"/>
        <v>19</v>
      </c>
      <c r="BA10" s="139">
        <f t="shared" si="0"/>
        <v>8</v>
      </c>
      <c r="BB10" s="139">
        <f t="shared" si="0"/>
        <v>57</v>
      </c>
      <c r="BC10" s="135">
        <f t="shared" si="0"/>
        <v>7</v>
      </c>
      <c r="BD10" s="136">
        <f>IF(ISNUMBER(BA10/AZ10),BA10/AZ10," - ")</f>
        <v>0.42105263157894735</v>
      </c>
      <c r="BE10" s="137">
        <f>IF(ISNUMBER(BB10/BA10),BB10/BA10, " - ")</f>
        <v>7.125</v>
      </c>
      <c r="BF10" s="137">
        <f>IF(ISNUMBER(BC10/BA10),BC10/BA10, " - ")</f>
        <v>0.875</v>
      </c>
      <c r="BG10" s="209">
        <f>IF(ISNUMBER((AY10+AZ10)/BA10),(AY10+AZ10)/BA10," - ")</f>
        <v>8.125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2743</v>
      </c>
      <c r="J12" s="196">
        <v>1251</v>
      </c>
      <c r="K12" s="196">
        <v>1052</v>
      </c>
      <c r="L12" s="196">
        <v>2922</v>
      </c>
      <c r="M12" s="196">
        <v>311</v>
      </c>
      <c r="N12" s="196">
        <v>526</v>
      </c>
      <c r="O12" s="194">
        <v>545</v>
      </c>
      <c r="P12" s="196">
        <v>292</v>
      </c>
      <c r="Q12" s="196">
        <v>361</v>
      </c>
      <c r="R12" s="196">
        <v>5188</v>
      </c>
      <c r="S12" s="196">
        <v>2704</v>
      </c>
      <c r="T12" s="196">
        <v>1244</v>
      </c>
      <c r="U12" s="196">
        <v>1376</v>
      </c>
      <c r="V12" s="196">
        <v>2550</v>
      </c>
      <c r="W12" s="196">
        <v>705</v>
      </c>
      <c r="X12" s="202">
        <v>310</v>
      </c>
      <c r="Y12" s="204">
        <v>178</v>
      </c>
      <c r="Z12" s="194">
        <v>170</v>
      </c>
      <c r="AA12" s="194">
        <v>186</v>
      </c>
      <c r="AB12" s="194">
        <v>162</v>
      </c>
      <c r="AC12" s="196">
        <v>0</v>
      </c>
      <c r="AD12" s="196">
        <v>0</v>
      </c>
      <c r="AE12" s="196">
        <v>0</v>
      </c>
      <c r="AF12" s="202">
        <v>0</v>
      </c>
      <c r="AG12" s="215">
        <v>184</v>
      </c>
      <c r="AH12" s="196">
        <v>229</v>
      </c>
      <c r="AI12" s="196">
        <v>159</v>
      </c>
      <c r="AJ12" s="216">
        <v>254</v>
      </c>
      <c r="AK12" s="195">
        <v>0</v>
      </c>
      <c r="AL12" s="196">
        <v>0</v>
      </c>
      <c r="AM12" s="196">
        <v>0</v>
      </c>
      <c r="AN12" s="202">
        <v>0</v>
      </c>
      <c r="AO12" s="283">
        <v>7</v>
      </c>
      <c r="AP12" s="168">
        <v>7</v>
      </c>
      <c r="AQ12" s="168">
        <v>7</v>
      </c>
      <c r="AR12" s="167">
        <v>7</v>
      </c>
      <c r="AS12" s="381" t="s">
        <v>1075</v>
      </c>
      <c r="AT12" s="216"/>
      <c r="AU12" s="215"/>
      <c r="AV12" s="216"/>
      <c r="AW12" s="215"/>
      <c r="AX12" s="216"/>
      <c r="AY12" s="136">
        <f t="shared" si="1"/>
        <v>2888</v>
      </c>
      <c r="AZ12" s="137">
        <f t="shared" si="1"/>
        <v>1473</v>
      </c>
      <c r="BA12" s="137">
        <f t="shared" si="1"/>
        <v>1535</v>
      </c>
      <c r="BB12" s="137">
        <f t="shared" si="1"/>
        <v>2804</v>
      </c>
      <c r="BC12" s="135">
        <f>IF(ISNUMBER(X12),X12," - ")</f>
        <v>310</v>
      </c>
      <c r="BD12" s="136">
        <f t="shared" si="2"/>
        <v>1.0420909708078752</v>
      </c>
      <c r="BE12" s="137">
        <f t="shared" si="3"/>
        <v>1.8267100977198698</v>
      </c>
      <c r="BF12" s="137">
        <f t="shared" si="4"/>
        <v>0.20195439739413681</v>
      </c>
      <c r="BG12" s="209">
        <f t="shared" si="5"/>
        <v>2.8410423452768732</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2790</v>
      </c>
      <c r="J14" s="197">
        <f t="shared" si="7"/>
        <v>1269</v>
      </c>
      <c r="K14" s="197">
        <f t="shared" si="7"/>
        <v>1057</v>
      </c>
      <c r="L14" s="197">
        <f t="shared" si="7"/>
        <v>2982</v>
      </c>
      <c r="M14" s="197">
        <f t="shared" si="7"/>
        <v>312</v>
      </c>
      <c r="N14" s="197">
        <f t="shared" si="7"/>
        <v>527</v>
      </c>
      <c r="O14" s="197">
        <f t="shared" si="7"/>
        <v>547</v>
      </c>
      <c r="P14" s="197">
        <f t="shared" si="7"/>
        <v>292</v>
      </c>
      <c r="Q14" s="197">
        <f t="shared" si="7"/>
        <v>361</v>
      </c>
      <c r="R14" s="197">
        <f t="shared" si="7"/>
        <v>5188</v>
      </c>
      <c r="S14" s="197">
        <f t="shared" si="7"/>
        <v>2750</v>
      </c>
      <c r="T14" s="197">
        <f t="shared" si="7"/>
        <v>1263</v>
      </c>
      <c r="U14" s="197">
        <f t="shared" si="7"/>
        <v>1384</v>
      </c>
      <c r="V14" s="197">
        <f t="shared" si="7"/>
        <v>2607</v>
      </c>
      <c r="W14" s="197">
        <f t="shared" si="7"/>
        <v>712</v>
      </c>
      <c r="X14" s="197">
        <f t="shared" si="7"/>
        <v>311</v>
      </c>
      <c r="Y14" s="197">
        <f t="shared" si="7"/>
        <v>178</v>
      </c>
      <c r="Z14" s="197">
        <f t="shared" si="7"/>
        <v>170</v>
      </c>
      <c r="AA14" s="197">
        <f t="shared" si="7"/>
        <v>186</v>
      </c>
      <c r="AB14" s="197">
        <f t="shared" si="7"/>
        <v>162</v>
      </c>
      <c r="AC14" s="197">
        <f t="shared" si="7"/>
        <v>0</v>
      </c>
      <c r="AD14" s="197">
        <f t="shared" si="7"/>
        <v>0</v>
      </c>
      <c r="AE14" s="197">
        <f t="shared" si="7"/>
        <v>0</v>
      </c>
      <c r="AF14" s="197">
        <f>SUBTOTAL(9,AF9:AF13)</f>
        <v>0</v>
      </c>
      <c r="AG14" s="197">
        <f t="shared" ref="AG14:AT14" si="8">SUBTOTAL(9,AG8:AG13)</f>
        <v>184</v>
      </c>
      <c r="AH14" s="197">
        <f t="shared" si="8"/>
        <v>229</v>
      </c>
      <c r="AI14" s="197">
        <f t="shared" si="8"/>
        <v>159</v>
      </c>
      <c r="AJ14" s="197">
        <f t="shared" si="8"/>
        <v>254</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2934</v>
      </c>
      <c r="AZ14" s="197">
        <f>SUBTOTAL(9,AZ8:AZ13)</f>
        <v>1492</v>
      </c>
      <c r="BA14" s="197">
        <f>SUBTOTAL(9,BA8:BA13)</f>
        <v>1543</v>
      </c>
      <c r="BB14" s="197">
        <f>SUBTOTAL(9,BB8:BB13)</f>
        <v>2861</v>
      </c>
      <c r="BC14" s="197">
        <f>SUBTOTAL(9,BC8:BC13)</f>
        <v>317</v>
      </c>
      <c r="BD14" s="219">
        <f>IF(ISNUMBER(BA14/AZ14),BA14/AZ14," - ")</f>
        <v>1.0341823056300268</v>
      </c>
      <c r="BE14" s="220">
        <f>IF(ISNUMBER(BB14/BA14),BB14/BA14, " - ")</f>
        <v>1.8541801685029164</v>
      </c>
      <c r="BF14" s="220">
        <f>IF(ISNUMBER(BC14/BA14),BC14/BA14, " - ")</f>
        <v>0.20544394037589112</v>
      </c>
      <c r="BG14" s="221">
        <f>IF(ISNUMBER((AY14+AZ14)/BA14),(AY14+AZ14)/BA14," - ")</f>
        <v>2.8684381075826311</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2010</v>
      </c>
      <c r="J17" s="196">
        <v>1757</v>
      </c>
      <c r="K17" s="196">
        <v>1821</v>
      </c>
      <c r="L17" s="196">
        <v>1963</v>
      </c>
      <c r="M17" s="196">
        <v>178</v>
      </c>
      <c r="N17" s="196">
        <v>1257</v>
      </c>
      <c r="O17" s="194">
        <v>19</v>
      </c>
      <c r="P17" s="196">
        <v>51</v>
      </c>
      <c r="Q17" s="196">
        <v>43</v>
      </c>
      <c r="R17" s="196">
        <v>217</v>
      </c>
      <c r="S17" s="196">
        <v>2006</v>
      </c>
      <c r="T17" s="196">
        <v>1424</v>
      </c>
      <c r="U17" s="196">
        <v>1336</v>
      </c>
      <c r="V17" s="196">
        <v>2134</v>
      </c>
      <c r="W17" s="196">
        <v>171</v>
      </c>
      <c r="X17" s="202">
        <v>871</v>
      </c>
      <c r="Y17" s="215">
        <v>0</v>
      </c>
      <c r="Z17" s="196">
        <v>0</v>
      </c>
      <c r="AA17" s="196">
        <v>0</v>
      </c>
      <c r="AB17" s="196">
        <v>0</v>
      </c>
      <c r="AC17" s="196">
        <v>0</v>
      </c>
      <c r="AD17" s="196">
        <v>4</v>
      </c>
      <c r="AE17" s="196">
        <v>4</v>
      </c>
      <c r="AF17" s="202">
        <v>0</v>
      </c>
      <c r="AG17" s="215">
        <v>0</v>
      </c>
      <c r="AH17" s="196">
        <v>0</v>
      </c>
      <c r="AI17" s="196">
        <v>0</v>
      </c>
      <c r="AJ17" s="216">
        <v>0</v>
      </c>
      <c r="AK17" s="195">
        <v>5</v>
      </c>
      <c r="AL17" s="196">
        <v>12</v>
      </c>
      <c r="AM17" s="196">
        <v>13</v>
      </c>
      <c r="AN17" s="202">
        <v>4</v>
      </c>
      <c r="AO17" s="283">
        <v>7</v>
      </c>
      <c r="AP17" s="168">
        <v>7</v>
      </c>
      <c r="AQ17" s="168">
        <v>7</v>
      </c>
      <c r="AR17" s="168">
        <v>7</v>
      </c>
      <c r="AS17" s="381" t="s">
        <v>650</v>
      </c>
      <c r="AT17" s="216"/>
      <c r="AU17" s="215"/>
      <c r="AV17" s="216"/>
      <c r="AW17" s="215"/>
      <c r="AX17" s="216"/>
      <c r="AY17" s="136">
        <f t="shared" si="10"/>
        <v>2006</v>
      </c>
      <c r="AZ17" s="137">
        <f t="shared" si="10"/>
        <v>1424</v>
      </c>
      <c r="BA17" s="137">
        <f t="shared" si="10"/>
        <v>1336</v>
      </c>
      <c r="BB17" s="137">
        <f t="shared" si="10"/>
        <v>2134</v>
      </c>
      <c r="BC17" s="135">
        <f>IF(ISNUMBER(W17),W17," - ")</f>
        <v>171</v>
      </c>
      <c r="BD17" s="136">
        <f t="shared" ref="BD17:BD22" si="12">IF(ISNUMBER(BA17/AZ17),BA17/AZ17," - ")</f>
        <v>0.9382022471910112</v>
      </c>
      <c r="BE17" s="137">
        <f t="shared" ref="BE17:BE22" si="13">IF(ISNUMBER(BB17/BA17),BB17/BA17, " - ")</f>
        <v>1.597305389221557</v>
      </c>
      <c r="BF17" s="137">
        <f t="shared" ref="BF17:BF22" si="14">IF(ISNUMBER(BC17/BA17),BC17/BA17, " - ")</f>
        <v>0.1279940119760479</v>
      </c>
      <c r="BG17" s="209">
        <f t="shared" si="11"/>
        <v>2.567365269461078</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321</v>
      </c>
      <c r="J18" s="196">
        <v>106</v>
      </c>
      <c r="K18" s="196">
        <v>118</v>
      </c>
      <c r="L18" s="196">
        <v>309</v>
      </c>
      <c r="M18" s="196">
        <v>10</v>
      </c>
      <c r="N18" s="196">
        <v>65</v>
      </c>
      <c r="O18" s="196">
        <v>0</v>
      </c>
      <c r="P18" s="196">
        <v>0</v>
      </c>
      <c r="Q18" s="196">
        <v>0</v>
      </c>
      <c r="R18" s="196">
        <v>5</v>
      </c>
      <c r="S18" s="196">
        <v>234</v>
      </c>
      <c r="T18" s="196">
        <v>86</v>
      </c>
      <c r="U18" s="196">
        <v>69</v>
      </c>
      <c r="V18" s="196">
        <v>251</v>
      </c>
      <c r="W18" s="196">
        <v>9</v>
      </c>
      <c r="X18" s="202">
        <v>50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234</v>
      </c>
      <c r="AZ18" s="139">
        <f t="shared" si="15"/>
        <v>86</v>
      </c>
      <c r="BA18" s="139">
        <f t="shared" si="15"/>
        <v>69</v>
      </c>
      <c r="BB18" s="139">
        <f t="shared" si="15"/>
        <v>251</v>
      </c>
      <c r="BC18" s="135">
        <f>IF(ISNUMBER(W18),W18," - ")</f>
        <v>9</v>
      </c>
      <c r="BD18" s="136">
        <f>IF(ISNUMBER(BA18/AZ18),BA18/AZ18," - ")</f>
        <v>0.80232558139534882</v>
      </c>
      <c r="BE18" s="137">
        <f>IF(ISNUMBER(BB18/BA18),BB18/BA18, " - ")</f>
        <v>3.63768115942029</v>
      </c>
      <c r="BF18" s="137">
        <f>IF(ISNUMBER(BC18/BA18),BC18/BA18, " - ")</f>
        <v>0.13043478260869565</v>
      </c>
      <c r="BG18" s="209">
        <f>IF(ISNUMBER((AY18+AZ18)/BA18),(AY18+AZ18)/BA18," - ")</f>
        <v>4.63768115942029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2331</v>
      </c>
      <c r="J23" s="197">
        <f t="shared" si="21"/>
        <v>1863</v>
      </c>
      <c r="K23" s="197">
        <f t="shared" si="21"/>
        <v>1939</v>
      </c>
      <c r="L23" s="197">
        <f t="shared" si="21"/>
        <v>2272</v>
      </c>
      <c r="M23" s="197">
        <f t="shared" si="21"/>
        <v>188</v>
      </c>
      <c r="N23" s="197">
        <f t="shared" si="21"/>
        <v>1322</v>
      </c>
      <c r="O23" s="197">
        <f t="shared" si="21"/>
        <v>19</v>
      </c>
      <c r="P23" s="197">
        <f t="shared" si="21"/>
        <v>51</v>
      </c>
      <c r="Q23" s="197">
        <f t="shared" si="21"/>
        <v>43</v>
      </c>
      <c r="R23" s="197">
        <f t="shared" si="21"/>
        <v>222</v>
      </c>
      <c r="S23" s="197">
        <f t="shared" si="21"/>
        <v>2240</v>
      </c>
      <c r="T23" s="197">
        <f t="shared" si="21"/>
        <v>1510</v>
      </c>
      <c r="U23" s="197">
        <f t="shared" si="21"/>
        <v>1405</v>
      </c>
      <c r="V23" s="197">
        <f t="shared" si="21"/>
        <v>2385</v>
      </c>
      <c r="W23" s="197">
        <f t="shared" si="21"/>
        <v>180</v>
      </c>
      <c r="X23" s="197">
        <f t="shared" si="21"/>
        <v>921</v>
      </c>
      <c r="Y23" s="197">
        <f t="shared" si="21"/>
        <v>0</v>
      </c>
      <c r="Z23" s="197">
        <f t="shared" si="21"/>
        <v>0</v>
      </c>
      <c r="AA23" s="197">
        <f t="shared" si="21"/>
        <v>0</v>
      </c>
      <c r="AB23" s="197">
        <f t="shared" si="21"/>
        <v>0</v>
      </c>
      <c r="AC23" s="197">
        <f t="shared" si="21"/>
        <v>0</v>
      </c>
      <c r="AD23" s="197">
        <f t="shared" si="21"/>
        <v>4</v>
      </c>
      <c r="AE23" s="197">
        <f t="shared" si="21"/>
        <v>4</v>
      </c>
      <c r="AF23" s="197">
        <f t="shared" si="21"/>
        <v>0</v>
      </c>
      <c r="AG23" s="197">
        <f t="shared" si="21"/>
        <v>0</v>
      </c>
      <c r="AH23" s="197">
        <f t="shared" si="21"/>
        <v>0</v>
      </c>
      <c r="AI23" s="197">
        <f t="shared" si="21"/>
        <v>0</v>
      </c>
      <c r="AJ23" s="197">
        <f t="shared" si="21"/>
        <v>0</v>
      </c>
      <c r="AK23" s="197">
        <f t="shared" si="21"/>
        <v>5</v>
      </c>
      <c r="AL23" s="197">
        <f t="shared" si="21"/>
        <v>12</v>
      </c>
      <c r="AM23" s="197">
        <f t="shared" si="21"/>
        <v>13</v>
      </c>
      <c r="AN23" s="197">
        <f t="shared" si="21"/>
        <v>4</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2240</v>
      </c>
      <c r="AZ23" s="197">
        <f>SUBTOTAL(9,AZ15:AZ22)</f>
        <v>1510</v>
      </c>
      <c r="BA23" s="197">
        <f>SUBTOTAL(9,BA15:BA22)</f>
        <v>1405</v>
      </c>
      <c r="BB23" s="197">
        <f>SUBTOTAL(9,BB15:BB22)</f>
        <v>2385</v>
      </c>
      <c r="BC23" s="197">
        <f>SUBTOTAL(9,BC15:BC22)</f>
        <v>180</v>
      </c>
      <c r="BD23" s="219">
        <f>IF(ISNUMBER(BA23/AZ23),BA23/AZ23," - ")</f>
        <v>0.93046357615894038</v>
      </c>
      <c r="BE23" s="220">
        <f>IF(ISNUMBER(BB23/BA23),BB23/BA23, " - ")</f>
        <v>1.697508896797153</v>
      </c>
      <c r="BF23" s="220">
        <f>IF(ISNUMBER(BC23/BA23),BC23/BA23, " - ")</f>
        <v>0.12811387900355872</v>
      </c>
      <c r="BG23" s="221">
        <f>IF(ISNUMBER((AY23+AZ23)/BA23),(AY23+AZ23)/BA23," - ")</f>
        <v>2.6690391459074734</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5121</v>
      </c>
      <c r="J31" s="144">
        <f t="shared" si="36"/>
        <v>3132</v>
      </c>
      <c r="K31" s="144">
        <f t="shared" si="36"/>
        <v>2996</v>
      </c>
      <c r="L31" s="144">
        <f t="shared" si="36"/>
        <v>5254</v>
      </c>
      <c r="M31" s="144">
        <f t="shared" si="36"/>
        <v>500</v>
      </c>
      <c r="N31" s="144">
        <f t="shared" si="36"/>
        <v>1849</v>
      </c>
      <c r="O31" s="144">
        <f t="shared" si="36"/>
        <v>566</v>
      </c>
      <c r="P31" s="144">
        <f t="shared" si="36"/>
        <v>343</v>
      </c>
      <c r="Q31" s="144">
        <f t="shared" si="36"/>
        <v>404</v>
      </c>
      <c r="R31" s="144">
        <f t="shared" si="36"/>
        <v>5410</v>
      </c>
      <c r="S31" s="144">
        <f t="shared" si="36"/>
        <v>4990</v>
      </c>
      <c r="T31" s="144">
        <f t="shared" si="36"/>
        <v>2773</v>
      </c>
      <c r="U31" s="144">
        <f t="shared" si="36"/>
        <v>2789</v>
      </c>
      <c r="V31" s="144">
        <f t="shared" si="36"/>
        <v>4992</v>
      </c>
      <c r="W31" s="144">
        <f t="shared" si="36"/>
        <v>892</v>
      </c>
      <c r="X31" s="144">
        <f t="shared" si="36"/>
        <v>1232</v>
      </c>
      <c r="Y31" s="144">
        <f t="shared" si="36"/>
        <v>178</v>
      </c>
      <c r="Z31" s="144">
        <f t="shared" si="36"/>
        <v>170</v>
      </c>
      <c r="AA31" s="144">
        <f t="shared" si="36"/>
        <v>186</v>
      </c>
      <c r="AB31" s="144">
        <f t="shared" si="36"/>
        <v>162</v>
      </c>
      <c r="AC31" s="144">
        <f t="shared" si="36"/>
        <v>0</v>
      </c>
      <c r="AD31" s="144">
        <f t="shared" si="36"/>
        <v>4</v>
      </c>
      <c r="AE31" s="144">
        <f t="shared" si="36"/>
        <v>4</v>
      </c>
      <c r="AF31" s="144">
        <f t="shared" si="36"/>
        <v>0</v>
      </c>
      <c r="AG31" s="144">
        <f t="shared" si="36"/>
        <v>184</v>
      </c>
      <c r="AH31" s="144">
        <f t="shared" si="36"/>
        <v>229</v>
      </c>
      <c r="AI31" s="144">
        <f t="shared" si="36"/>
        <v>159</v>
      </c>
      <c r="AJ31" s="144">
        <f t="shared" si="36"/>
        <v>254</v>
      </c>
      <c r="AK31" s="144">
        <f t="shared" si="36"/>
        <v>5</v>
      </c>
      <c r="AL31" s="144">
        <f t="shared" si="36"/>
        <v>12</v>
      </c>
      <c r="AM31" s="144">
        <f t="shared" si="36"/>
        <v>13</v>
      </c>
      <c r="AN31" s="224">
        <f t="shared" si="36"/>
        <v>4</v>
      </c>
      <c r="AO31" s="225">
        <v>8</v>
      </c>
      <c r="AP31" s="225">
        <v>7</v>
      </c>
      <c r="AQ31" s="225">
        <v>7</v>
      </c>
      <c r="AR31" s="225">
        <v>7</v>
      </c>
      <c r="AS31" s="166">
        <f t="shared" si="36"/>
        <v>0</v>
      </c>
      <c r="AT31" s="166">
        <f t="shared" si="36"/>
        <v>0</v>
      </c>
      <c r="AU31" s="225"/>
      <c r="AV31" s="226"/>
      <c r="AW31" s="225"/>
      <c r="AX31" s="226"/>
      <c r="AY31" s="143">
        <f>SUBTOTAL(9,AY9:AY30)</f>
        <v>5174</v>
      </c>
      <c r="AZ31" s="144">
        <f>SUBTOTAL(9,AZ9:AZ30)</f>
        <v>3002</v>
      </c>
      <c r="BA31" s="144">
        <f>SUBTOTAL(9,BA9:BA30)</f>
        <v>2948</v>
      </c>
      <c r="BB31" s="144">
        <f>SUBTOTAL(9,BB9:BB30)</f>
        <v>5246</v>
      </c>
      <c r="BC31" s="145">
        <f>SUBTOTAL(9,BC9:BC30)</f>
        <v>497</v>
      </c>
      <c r="BD31" s="227">
        <f>IF(ISNUMBER(BA31/AZ31),BA31/AZ31," - ")</f>
        <v>0.98201199200532974</v>
      </c>
      <c r="BE31" s="224">
        <f>IF(ISNUMBER(BB31/BA31),BB31/BA31, " - ")</f>
        <v>1.7795115332428766</v>
      </c>
      <c r="BF31" s="224">
        <f>IF(ISNUMBER(BC31/BA31),BC31/BA31, " - ")</f>
        <v>0.16858887381275442</v>
      </c>
      <c r="BG31" s="145">
        <f>IF(ISNUMBER((AY31+AZ31)/BA31),(AY31+AZ31)/BA31," - ")</f>
        <v>2.7734056987788329</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j1ONelOTI1nerUbQiLUyZzmRp+euh+rgjOHU4w1gdWCo1/3PDXzKTzB38yG/Q3KV1Bim2ww8p6lbuQ1Xd+R/Q==" saltValue="Z288izQQhf8/wVioC/qb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E7+BNwRgiUCKrhlnhhyBys6/3Fb3H0mhy9s1BO7WF4Q1ZWKH32SiV30yY7NFTABr1zRZADqoSlkmgh1DFBkZA==" saltValue="us79sS6rclr/agBc/Rqd6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PALENCIA  Resumenes por Partidos Judiciales  PALENCIA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47</v>
      </c>
      <c r="G10" s="543">
        <f>IF(ISNUMBER(Datos!I10),Datos!I10," - ")</f>
        <v>47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60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0.27777777777777779</v>
      </c>
      <c r="BH10" s="764">
        <f>IF(ISNUMBER(((Datos!L10/Datos!K10)*11)/factor_trimestre),((Datos!L10/Datos!K10)*11)/factor_trimestre," - ")</f>
        <v>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170</v>
      </c>
      <c r="O12" s="549"/>
      <c r="P12" s="549"/>
      <c r="Q12" s="547">
        <f>IF(ISNUMBER(Datos!P12),Datos!P12,0)</f>
        <v>292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361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162</v>
      </c>
      <c r="AI12" s="549" t="str">
        <f>IF(ISNUMBER(Datos!CD12),Datos!CD12,"-")</f>
        <v>-</v>
      </c>
      <c r="AJ12" s="549" t="str">
        <f>IF(ISNUMBER(Datos!EN12),Datos!EN12," - ")</f>
        <v xml:space="preserve"> - </v>
      </c>
      <c r="AK12" s="549"/>
      <c r="AL12" s="550"/>
      <c r="AM12" s="766">
        <f>IF(ISNUMBER(Datos!R12),Datos!R12," - ")</f>
        <v>5188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311</v>
      </c>
      <c r="BD12" s="693">
        <f>IF(ISNUMBER(Datos!N12),Datos!N12," - ")</f>
        <v>526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0.87121745249824067</v>
      </c>
      <c r="BH12" s="764">
        <f>IF(ISNUMBER(((IF(J_V="SI",Datos!L12/Datos!K12,(Datos!L12+Datos!AB12)/(Datos!K12+Datos!AA12)))*11)/factor_trimestre),((IF(J_V="SI",Datos!L12/Datos!K12,(Datos!L12+Datos!AB12)/(Datos!K12+Datos!AA12)))*11)/factor_trimestre," - ")</f>
        <v>7.4733441033925692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-1.3125356667300742E-2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47</v>
      </c>
      <c r="G14" s="1197">
        <f t="shared" si="1"/>
        <v>47</v>
      </c>
      <c r="H14" s="1198">
        <f t="shared" si="1"/>
        <v>0</v>
      </c>
      <c r="I14" s="1197">
        <f t="shared" si="1"/>
        <v>0</v>
      </c>
      <c r="J14" s="1164">
        <f t="shared" si="1"/>
        <v>0</v>
      </c>
      <c r="K14" s="1164">
        <f t="shared" si="1"/>
        <v>0</v>
      </c>
      <c r="L14" s="1198">
        <f t="shared" si="1"/>
        <v>0</v>
      </c>
      <c r="M14" s="1198">
        <f t="shared" si="1"/>
        <v>0</v>
      </c>
      <c r="N14" s="1198">
        <f t="shared" si="1"/>
        <v>170</v>
      </c>
      <c r="O14" s="1199">
        <f t="shared" si="1"/>
        <v>0</v>
      </c>
      <c r="P14" s="1199">
        <f t="shared" si="1"/>
        <v>0</v>
      </c>
      <c r="Q14" s="1198">
        <f t="shared" si="1"/>
        <v>292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361</v>
      </c>
      <c r="AD14" s="1198">
        <f t="shared" si="2"/>
        <v>0</v>
      </c>
      <c r="AE14" s="1198">
        <f t="shared" si="2"/>
        <v>0</v>
      </c>
      <c r="AF14" s="1198">
        <f t="shared" si="2"/>
        <v>60</v>
      </c>
      <c r="AG14" s="1198">
        <f t="shared" si="2"/>
        <v>0</v>
      </c>
      <c r="AH14" s="1198">
        <f t="shared" si="2"/>
        <v>162</v>
      </c>
      <c r="AI14" s="1198">
        <f t="shared" si="2"/>
        <v>0</v>
      </c>
      <c r="AJ14" s="1198">
        <f t="shared" si="2"/>
        <v>0</v>
      </c>
      <c r="AK14" s="1198">
        <f t="shared" si="2"/>
        <v>0</v>
      </c>
      <c r="AL14" s="1198">
        <f t="shared" si="2"/>
        <v>0</v>
      </c>
      <c r="AM14" s="1198">
        <f t="shared" si="2"/>
        <v>5188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312</v>
      </c>
      <c r="BD14" s="1198">
        <f t="shared" si="2"/>
        <v>527</v>
      </c>
      <c r="BE14" s="1198">
        <f t="shared" si="2"/>
        <v>0</v>
      </c>
      <c r="BF14" s="1198">
        <f t="shared" si="2"/>
        <v>0</v>
      </c>
      <c r="BG14" s="1198">
        <f>IF(ISNUMBER(Datos!K14/Datos!J14),Datos!K14/Datos!J14," - ")</f>
        <v>0.83293932230102441</v>
      </c>
      <c r="BH14" s="1202">
        <f>IF(ISNUMBER(((Datos!L14/Datos!K14)*11)/factor_trimestre),((Datos!L14/Datos!K14)*11)/factor_trimestre," - ")</f>
        <v>8.4635761589403984</v>
      </c>
      <c r="BI14" s="1198">
        <f>IF(ISNUMBER('Resol  Asuntos'!D14/NºAsuntos!G14),'Resol  Asuntos'!D14/NºAsuntos!G14," - ")</f>
        <v>0.25100563153660499</v>
      </c>
      <c r="BJ14" s="1198" t="str">
        <f>IF(ISNUMBER(Datos!CI14/Datos!CJ14),Datos!CI14/Datos!CJ14," - ")</f>
        <v xml:space="preserve"> - </v>
      </c>
      <c r="BK14" s="1198">
        <f>SUBTOTAL(9,BK8:BK13)</f>
        <v>0</v>
      </c>
      <c r="BL14" s="1198">
        <f>IF(ISNUMBER((I14-AB14+L14)/(F14)),(I14-AB14+L14)/(F14)," - ")</f>
        <v>-0.10638297872340426</v>
      </c>
      <c r="BM14" s="1203">
        <f>SUBTOTAL(9,BM9:BM13)</f>
        <v>-1.3125356667300742E-2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2027</v>
      </c>
      <c r="G17" s="743">
        <f>IF(ISNUMBER(IF(D_I="SI",Datos!I17,Datos!I17+Datos!AC17)),IF(D_I="SI",Datos!I17,Datos!I17+Datos!AC17)," - ")</f>
        <v>2010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1821</v>
      </c>
      <c r="AC17" s="240">
        <f>IF(ISNUMBER(Datos!Q17),Datos!Q17," - ")</f>
        <v>43</v>
      </c>
      <c r="AD17" s="374"/>
      <c r="AE17" s="562"/>
      <c r="AF17" s="741">
        <f>IF(ISNUMBER(IF(D_I="SI",Datos!L17,Datos!L17+Datos!AF17)),IF(D_I="SI",Datos!L17,Datos!L17+Datos!AF17)," - ")</f>
        <v>1963</v>
      </c>
      <c r="AG17" s="374"/>
      <c r="AH17" s="374"/>
      <c r="AI17" s="374"/>
      <c r="AJ17" s="549"/>
      <c r="AK17" s="374"/>
      <c r="AL17" s="545"/>
      <c r="AM17" s="375">
        <f>IF(ISNUMBER(Datos!R17),Datos!R17," - ")</f>
        <v>217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178</v>
      </c>
      <c r="BD17" s="243">
        <f>IF(ISNUMBER(Datos!N17),Datos!N17," - ")</f>
        <v>1257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1.0364257256687535</v>
      </c>
      <c r="BH17" s="764">
        <f>IF(ISNUMBER(((IF(D_I="SI",Datos!L17/Datos!K17,(Datos!L17+Datos!AF17)/(Datos!K17+Datos!AE17)))*11)/factor_trimestre),((IF(D_I="SI",Datos!L17/Datos!K17,(Datos!L17+Datos!AF17)/(Datos!K17+Datos!AE17)))*11)/factor_trimestre," - ")</f>
        <v>3.2339373970345968</v>
      </c>
      <c r="BI17" s="266">
        <f>IF(ISNUMBER('Resol  Asuntos'!D17/NºAsuntos!G17),'Resol  Asuntos'!D17/NºAsuntos!G17," - ")</f>
        <v>9.7748489840746841E-2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118</v>
      </c>
      <c r="AC18" s="547">
        <f>IF(ISNUMBER(Datos!Q18),Datos!Q18," - ")</f>
        <v>0</v>
      </c>
      <c r="AD18" s="549"/>
      <c r="AE18" s="562"/>
      <c r="AF18" s="551">
        <f>IF(ISNUMBER(Datos!L18),Datos!L18,"-")</f>
        <v>309</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65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1.1132075471698113</v>
      </c>
      <c r="BH18" s="764">
        <f>IF(ISNUMBER(((IF(D_I="SI",Datos!L18/Datos!K18,(Datos!L18+Datos!AF18)/(Datos!K18+Datos!AE18)))*11)/factor_trimestre),((IF(D_I="SI",Datos!L18/Datos!K18,(Datos!L18+Datos!AF18)/(Datos!K18+Datos!AE18)))*11)/factor_trimestre," - ")</f>
        <v>7.8559322033898313</v>
      </c>
      <c r="BI18" s="763">
        <f>IF(ISNUMBER('Resol  Asuntos'!D18/NºAsuntos!G18),'Resol  Asuntos'!D18/NºAsuntos!G18," - ")</f>
        <v>8.4745762711864403E-2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2027</v>
      </c>
      <c r="G23" s="1197">
        <f>SUBTOTAL(9,G16:G22)</f>
        <v>2331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1939</v>
      </c>
      <c r="AC23" s="1198">
        <f t="shared" si="5"/>
        <v>43</v>
      </c>
      <c r="AD23" s="1198">
        <f t="shared" si="5"/>
        <v>0</v>
      </c>
      <c r="AE23" s="1198">
        <f t="shared" si="5"/>
        <v>0</v>
      </c>
      <c r="AF23" s="1198">
        <f t="shared" si="5"/>
        <v>2272</v>
      </c>
      <c r="AG23" s="1198">
        <f t="shared" si="5"/>
        <v>0</v>
      </c>
      <c r="AH23" s="1198">
        <f t="shared" si="5"/>
        <v>0</v>
      </c>
      <c r="AI23" s="1198">
        <f t="shared" si="5"/>
        <v>0</v>
      </c>
      <c r="AJ23" s="1198">
        <f t="shared" si="5"/>
        <v>0</v>
      </c>
      <c r="AK23" s="1198">
        <f t="shared" si="5"/>
        <v>0</v>
      </c>
      <c r="AL23" s="1198">
        <f t="shared" si="5"/>
        <v>0</v>
      </c>
      <c r="AM23" s="1198">
        <f t="shared" si="5"/>
        <v>222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188</v>
      </c>
      <c r="BD23" s="1198">
        <f t="shared" si="5"/>
        <v>1322</v>
      </c>
      <c r="BE23" s="1198">
        <f t="shared" si="5"/>
        <v>0</v>
      </c>
      <c r="BF23" s="1198">
        <f t="shared" si="5"/>
        <v>0</v>
      </c>
      <c r="BG23" s="1198">
        <f>IF(ISNUMBER(Datos!K23/Datos!J23),Datos!K23/Datos!J23," - ")</f>
        <v>1.0407944176060118</v>
      </c>
      <c r="BH23" s="1202">
        <f>IF(ISNUMBER(((Datos!L23/Datos!K23)*11)/factor_trimestre),((Datos!L23/Datos!K23)*11)/factor_trimestre," - ")</f>
        <v>3.5152140278494066</v>
      </c>
      <c r="BI23" s="1198">
        <f>SUBTOTAL(9,BI16:BI22)</f>
        <v>0.18249425255261126</v>
      </c>
      <c r="BJ23" s="1198">
        <f>SUBTOTAL(9,BJ16:BJ22)</f>
        <v>0</v>
      </c>
      <c r="BK23" s="1198">
        <f>SUBTOTAL(9,BK16:BK22)</f>
        <v>0</v>
      </c>
      <c r="BL23" s="1198">
        <f>IF(ISNUMBER((I23-AB23+L23)/(F23)),(I23-AB23+L23)/(F23)," - ")</f>
        <v>-0.95658608781450416</v>
      </c>
      <c r="BM23" s="1205">
        <f>IF(ISNUMBER((Datos!P23-Datos!Q23)/(Datos!R23-Datos!P23+Datos!Q23)),(Datos!P23-Datos!Q23)/(Datos!R23-Datos!P23+Datos!Q23)," - ")</f>
        <v>3.7383177570093455E-2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2074</v>
      </c>
      <c r="G31" s="1117">
        <f t="shared" si="18"/>
        <v>2378</v>
      </c>
      <c r="H31" s="1119">
        <f t="shared" si="18"/>
        <v>0</v>
      </c>
      <c r="I31" s="1117">
        <f t="shared" si="18"/>
        <v>0</v>
      </c>
      <c r="J31" s="1119">
        <f t="shared" si="18"/>
        <v>0</v>
      </c>
      <c r="K31" s="1119">
        <f t="shared" si="18"/>
        <v>0</v>
      </c>
      <c r="L31" s="1180">
        <f t="shared" si="18"/>
        <v>0</v>
      </c>
      <c r="M31" s="1180">
        <f t="shared" si="18"/>
        <v>0</v>
      </c>
      <c r="N31" s="1180">
        <f t="shared" si="18"/>
        <v>170</v>
      </c>
      <c r="O31" s="1180">
        <f t="shared" si="18"/>
        <v>0</v>
      </c>
      <c r="P31" s="1180">
        <f t="shared" si="18"/>
        <v>0</v>
      </c>
      <c r="Q31" s="1119">
        <f t="shared" si="18"/>
        <v>343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1944</v>
      </c>
      <c r="AC31" s="1118">
        <f t="shared" si="19"/>
        <v>404</v>
      </c>
      <c r="AD31" s="1118">
        <f t="shared" si="19"/>
        <v>0</v>
      </c>
      <c r="AE31" s="1118">
        <f t="shared" si="19"/>
        <v>0</v>
      </c>
      <c r="AF31" s="1125">
        <f t="shared" si="19"/>
        <v>2332</v>
      </c>
      <c r="AG31" s="1125">
        <f t="shared" si="19"/>
        <v>0</v>
      </c>
      <c r="AH31" s="1125">
        <f t="shared" si="19"/>
        <v>162</v>
      </c>
      <c r="AI31" s="1125">
        <f t="shared" si="19"/>
        <v>0</v>
      </c>
      <c r="AJ31" s="1118">
        <f t="shared" si="19"/>
        <v>0</v>
      </c>
      <c r="AK31" s="1125">
        <f t="shared" si="19"/>
        <v>0</v>
      </c>
      <c r="AL31" s="1125">
        <f t="shared" si="19"/>
        <v>0</v>
      </c>
      <c r="AM31" s="1125">
        <f t="shared" si="19"/>
        <v>5410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500</v>
      </c>
      <c r="BD31" s="1117">
        <f t="shared" si="19"/>
        <v>1849</v>
      </c>
      <c r="BE31" s="1117">
        <f t="shared" si="19"/>
        <v>0</v>
      </c>
      <c r="BF31" s="1127">
        <f t="shared" si="19"/>
        <v>0</v>
      </c>
      <c r="BG31" s="1223">
        <f>IF(ISNUMBER(Datos!K31/Datos!J31),Datos!K31/Datos!J31," - ")</f>
        <v>0.95657726692209455</v>
      </c>
      <c r="BH31" s="1223">
        <f>IF(ISNUMBER(((Datos!L31/Datos!K31)*11)/factor_trimestre),((Datos!L31/Datos!K31)*11)/factor_trimestre," - ")</f>
        <v>5.2610146862483314</v>
      </c>
      <c r="BI31" s="1103">
        <f>IF(ISNUMBER(Datos!J31/Datos!I31),Datos!J31/Datos!I31," - ")</f>
        <v>0.61159929701230231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-0.93731918997107044</v>
      </c>
      <c r="BM31" s="1188">
        <f>IF(ISNUMBER((Datos!P31-Datos!Q31+R31)/(Datos!R31-Datos!P31+Datos!Q31-R31)),(Datos!P31-Datos!Q31+R31)/(Datos!R31-Datos!P31+Datos!Q31-R31)," - ")</f>
        <v>-1.1149698409797112E-2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679.42857142857144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1034.8164410496515</v>
      </c>
      <c r="G33" s="674">
        <f>IF(ISNUMBER(STDEV(G8:G30)),STDEV(G8:G30),"-")</f>
        <v>1028.7336644539987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906.47942744496549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139.48579036692487</v>
      </c>
      <c r="BD33" s="673"/>
      <c r="BE33" s="673">
        <f>IF(ISNUMBER(STDEV(BE8:BE30)),STDEV(BE8:BE30),"-")</f>
        <v>0</v>
      </c>
      <c r="BF33" s="678">
        <f>IF(ISNUMBER(STDEV(BF8:BF30)),STDEV(BF8:BF30),"-")</f>
        <v>0</v>
      </c>
      <c r="BG33" s="1052">
        <f>IF(ISNUMBER(STDEV(BG8:BG30)),STDEV(BG8:BG30),"-")</f>
        <v>0.30585685435653287</v>
      </c>
      <c r="BH33" s="1058">
        <f>IF(ISNUMBER(STDEV(BH8:BH30)),STDEV(BH8:BH30),"-")</f>
        <v>12.410001595944784</v>
      </c>
      <c r="BI33" s="273">
        <f>IF(ISNUMBER(STDEV(BI8:BI30)),STDEV(BI8:BI30),"-")</f>
        <v>7.7851133041017803E-2</v>
      </c>
      <c r="BJ33" s="244" t="str">
        <f>IF(ISNUMBER(BL33/BM33),BL33/BM33," - ")</f>
        <v xml:space="preserve"> - </v>
      </c>
      <c r="BK33" s="709"/>
      <c r="BL33" s="681">
        <f>IF(ISNUMBER(STDEV(BL8:BL30)),STDEV(BL8:BL30),"-")</f>
        <v>0.60118438382420281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uukR8MHRRe0lDeQs+HB2gQUIw0vFxmaIFfzV+1KPX4gIDmRRAdUTRrBu9Ple69a1DKKk5Lqq4EqotssxfUfhA==" saltValue="ynJ2Xxgo6x+13iocxRLT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PALENCIA  Resumenes por Partidos Judiciales  PALENCIA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47</v>
      </c>
      <c r="G10" s="552">
        <f>IF(ISNUMBER(Datos!I10),Datos!I10," - ")</f>
        <v>47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60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361</v>
      </c>
      <c r="AA12" s="551" t="str">
        <f>IF(ISNUMBER(IF(J_V="SI",Datos!L12,Datos!L12+Datos!AB12)-IF(Monitorios="SI",Datos!CD12,0)),
                          IF(J_V="SI",Datos!L12,Datos!L12+Datos!AB12)-IF(Monitorios="SI",Datos!CD12,0),
                          " - ")</f>
        <v xml:space="preserve"> - </v>
      </c>
      <c r="AB12" s="549"/>
      <c r="AC12" s="549"/>
      <c r="AD12" s="563"/>
      <c r="AE12" s="563">
        <f>IF(ISNUMBER(Datos!R12),Datos!R12," - ")</f>
        <v>5188</v>
      </c>
      <c r="AF12" s="693" t="str">
        <f>IF(ISNUMBER(Datos!BV12),Datos!BV12," - ")</f>
        <v xml:space="preserve"> - </v>
      </c>
      <c r="AG12" s="552" t="str">
        <f>IF(ISNUMBER(Datos!DV12),Datos!DV12," - ")</f>
        <v xml:space="preserve"> - </v>
      </c>
      <c r="AH12" s="553"/>
      <c r="AI12" s="554"/>
      <c r="AJ12" s="552">
        <f>IF(ISNUMBER(Datos!M12),Datos!M12," - ")</f>
        <v>311</v>
      </c>
      <c r="AK12" s="693">
        <f>IF(ISNUMBER(Datos!N12),Datos!N12," - ")</f>
        <v>526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7.4733441033925692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-1.3125356667300742E-2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47</v>
      </c>
      <c r="G14" s="1197">
        <f>SUBTOTAL(9,G8:G13)</f>
        <v>47</v>
      </c>
      <c r="H14" s="1211"/>
      <c r="I14" s="1197">
        <f t="shared" ref="I14:N14" si="1">SUBTOTAL(9,I8:I13)</f>
        <v>0</v>
      </c>
      <c r="J14" s="1164">
        <f t="shared" si="1"/>
        <v>0</v>
      </c>
      <c r="K14" s="1211">
        <f t="shared" si="1"/>
        <v>0</v>
      </c>
      <c r="L14" s="1211">
        <f t="shared" si="1"/>
        <v>0</v>
      </c>
      <c r="M14" s="1211">
        <f t="shared" si="1"/>
        <v>0</v>
      </c>
      <c r="N14" s="1211">
        <f t="shared" si="1"/>
        <v>292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361</v>
      </c>
      <c r="AA14" s="1199">
        <f t="shared" si="3"/>
        <v>60</v>
      </c>
      <c r="AB14" s="1199">
        <f t="shared" si="3"/>
        <v>0</v>
      </c>
      <c r="AC14" s="1199">
        <f t="shared" si="3"/>
        <v>0</v>
      </c>
      <c r="AD14" s="1199">
        <f t="shared" si="3"/>
        <v>0</v>
      </c>
      <c r="AE14" s="1199">
        <f t="shared" si="3"/>
        <v>5188</v>
      </c>
      <c r="AF14" s="1211">
        <f t="shared" si="3"/>
        <v>0</v>
      </c>
      <c r="AG14" s="1211">
        <f t="shared" si="3"/>
        <v>0</v>
      </c>
      <c r="AH14" s="1211">
        <f t="shared" si="3"/>
        <v>0</v>
      </c>
      <c r="AI14" s="1211">
        <f t="shared" si="3"/>
        <v>0</v>
      </c>
      <c r="AJ14" s="1211">
        <f t="shared" si="3"/>
        <v>312</v>
      </c>
      <c r="AK14" s="1211">
        <f t="shared" si="3"/>
        <v>527</v>
      </c>
      <c r="AL14" s="1211">
        <f t="shared" si="3"/>
        <v>0</v>
      </c>
      <c r="AM14" s="1211">
        <f t="shared" si="3"/>
        <v>0</v>
      </c>
      <c r="AN14" s="1211">
        <f t="shared" si="3"/>
        <v>0</v>
      </c>
      <c r="AO14" s="1203">
        <f>IF(ISNUMBER(((NºAsuntos!I14/NºAsuntos!G14)*11)/factor_trimestre),((NºAsuntos!I14/NºAsuntos!G14)*11)/factor_trimestre," - ")</f>
        <v>7.5880933226065972</v>
      </c>
      <c r="AP14" s="1213" t="str">
        <f>IF(ISNUMBER(Datos!CI14/Datos!CJ14),Datos!CI14/Datos!CJ14," - ")</f>
        <v xml:space="preserve"> - </v>
      </c>
      <c r="AQ14" s="1236">
        <f t="shared" ref="AQ14:AV14" si="4">SUBTOTAL(9,AQ9:AQ13)</f>
        <v>0</v>
      </c>
      <c r="AR14" s="1236">
        <f t="shared" si="4"/>
        <v>-1.3125356667300742E-2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2027</v>
      </c>
      <c r="G17" s="552">
        <f>IF(ISNUMBER(IF(D_I="SI",Datos!I17,Datos!I17+Datos!AC17)),IF(D_I="SI",Datos!I17,Datos!I17+Datos!AC17)," - ")</f>
        <v>2010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1821</v>
      </c>
      <c r="Z17" s="805">
        <f>IF(ISNUMBER(Datos!Q17),Datos!Q17," - ")</f>
        <v>43</v>
      </c>
      <c r="AA17" s="551">
        <f>IF(ISNUMBER(IF(D_I="SI",Datos!L17,Datos!L17+Datos!AF17)),IF(D_I="SI",Datos!L17,Datos!L17+Datos!AF17)," - ")</f>
        <v>1963</v>
      </c>
      <c r="AB17" s="549"/>
      <c r="AC17" s="549"/>
      <c r="AD17" s="563"/>
      <c r="AE17" s="563">
        <f>IF(ISNUMBER(Datos!R17),Datos!R17," - ")</f>
        <v>217</v>
      </c>
      <c r="AF17" s="693" t="str">
        <f>IF(ISNUMBER(Datos!BV17),Datos!BV17," - ")</f>
        <v xml:space="preserve"> - </v>
      </c>
      <c r="AG17" s="552"/>
      <c r="AH17" s="553"/>
      <c r="AI17" s="554"/>
      <c r="AJ17" s="552">
        <f>IF(ISNUMBER(Datos!M17),Datos!M17," - ")</f>
        <v>178</v>
      </c>
      <c r="AK17" s="693">
        <f>IF(ISNUMBER(Datos!N17),Datos!N17," - ")</f>
        <v>1257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3.2339373970345968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118</v>
      </c>
      <c r="Z18" s="805">
        <f>IF(ISNUMBER(Datos!Q18),Datos!Q18," - ")</f>
        <v>0</v>
      </c>
      <c r="AA18" s="551">
        <f>IF(ISNUMBER(Datos!L18),Datos!L18,"-")</f>
        <v>309</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10</v>
      </c>
      <c r="AK18" s="693">
        <f>IF(ISNUMBER(Datos!N18),Datos!N18," - ")</f>
        <v>65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7.8559322033898313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2027</v>
      </c>
      <c r="G23" s="1197">
        <f>SUBTOTAL(9,G16:G22)</f>
        <v>2331</v>
      </c>
      <c r="H23" s="1240">
        <f>SUBTOTAL(9,H16:H22)</f>
        <v>0</v>
      </c>
      <c r="I23" s="1217">
        <f>SUBTOTAL(9,I16:I22)</f>
        <v>0</v>
      </c>
      <c r="J23" s="1164">
        <f>SUBTOTAL(9,J15:J22)</f>
        <v>0</v>
      </c>
      <c r="K23" s="1240">
        <f t="shared" ref="K23:S23" si="5">SUBTOTAL(9,K16:K22)</f>
        <v>0</v>
      </c>
      <c r="L23" s="1240">
        <f t="shared" si="5"/>
        <v>0</v>
      </c>
      <c r="M23" s="1240">
        <f t="shared" si="5"/>
        <v>0</v>
      </c>
      <c r="N23" s="1240">
        <f t="shared" si="5"/>
        <v>51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1939</v>
      </c>
      <c r="Z23" s="1240">
        <f t="shared" si="6"/>
        <v>43</v>
      </c>
      <c r="AA23" s="1240">
        <f t="shared" si="6"/>
        <v>2272</v>
      </c>
      <c r="AB23" s="1240">
        <f t="shared" si="6"/>
        <v>0</v>
      </c>
      <c r="AC23" s="1240">
        <f t="shared" si="6"/>
        <v>0</v>
      </c>
      <c r="AD23" s="1240">
        <f t="shared" si="6"/>
        <v>0</v>
      </c>
      <c r="AE23" s="1240">
        <f t="shared" si="6"/>
        <v>222</v>
      </c>
      <c r="AF23" s="1240">
        <f t="shared" si="6"/>
        <v>0</v>
      </c>
      <c r="AG23" s="1240">
        <f t="shared" si="6"/>
        <v>0</v>
      </c>
      <c r="AH23" s="1240">
        <f t="shared" si="6"/>
        <v>0</v>
      </c>
      <c r="AI23" s="1240">
        <f t="shared" si="6"/>
        <v>0</v>
      </c>
      <c r="AJ23" s="1240">
        <f t="shared" si="6"/>
        <v>188</v>
      </c>
      <c r="AK23" s="1240">
        <f t="shared" si="6"/>
        <v>1322</v>
      </c>
      <c r="AL23" s="1240">
        <f t="shared" si="6"/>
        <v>0</v>
      </c>
      <c r="AM23" s="1240">
        <f t="shared" si="6"/>
        <v>0</v>
      </c>
      <c r="AN23" s="1240">
        <f t="shared" si="6"/>
        <v>0</v>
      </c>
      <c r="AO23" s="1242">
        <f>IF(ISNUMBER(((NºAsuntos!I23/NºAsuntos!G23)*11)/factor_trimestre),((NºAsuntos!I23/NºAsuntos!G23)*11)/factor_trimestre," - ")</f>
        <v>3.5152140278494066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2074</v>
      </c>
      <c r="G31" s="1117">
        <f t="shared" si="12"/>
        <v>2378</v>
      </c>
      <c r="H31" s="1118">
        <f t="shared" si="12"/>
        <v>0</v>
      </c>
      <c r="I31" s="1117">
        <f t="shared" si="12"/>
        <v>0</v>
      </c>
      <c r="J31" s="1119">
        <f t="shared" si="12"/>
        <v>0</v>
      </c>
      <c r="K31" s="1117">
        <f t="shared" si="12"/>
        <v>0</v>
      </c>
      <c r="L31" s="1120">
        <f t="shared" si="12"/>
        <v>0</v>
      </c>
      <c r="M31" s="1117">
        <f t="shared" si="12"/>
        <v>0</v>
      </c>
      <c r="N31" s="1118">
        <f t="shared" si="12"/>
        <v>343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1944</v>
      </c>
      <c r="Z31" s="1124">
        <f t="shared" si="13"/>
        <v>404</v>
      </c>
      <c r="AA31" s="1125">
        <f t="shared" si="13"/>
        <v>2332</v>
      </c>
      <c r="AB31" s="1125">
        <f t="shared" si="13"/>
        <v>0</v>
      </c>
      <c r="AC31" s="1125">
        <f t="shared" si="13"/>
        <v>0</v>
      </c>
      <c r="AD31" s="1126">
        <f t="shared" si="13"/>
        <v>0</v>
      </c>
      <c r="AE31" s="1126">
        <f t="shared" si="13"/>
        <v>5410</v>
      </c>
      <c r="AF31" s="1127">
        <f t="shared" si="13"/>
        <v>0</v>
      </c>
      <c r="AG31" s="1128">
        <f t="shared" si="13"/>
        <v>0</v>
      </c>
      <c r="AH31" s="1129">
        <f t="shared" si="13"/>
        <v>0</v>
      </c>
      <c r="AI31" s="1127">
        <f t="shared" si="13"/>
        <v>0</v>
      </c>
      <c r="AJ31" s="1117">
        <f t="shared" si="13"/>
        <v>500</v>
      </c>
      <c r="AK31" s="1117">
        <f t="shared" si="13"/>
        <v>1849</v>
      </c>
      <c r="AL31" s="1117">
        <f t="shared" si="13"/>
        <v>0</v>
      </c>
      <c r="AM31" s="1130">
        <f t="shared" si="13"/>
        <v>0</v>
      </c>
      <c r="AN31" s="1120">
        <f>IF(ISNUMBER(Datos!K31/Datos!J31),Datos!K31/Datos!J31," - ")</f>
        <v>0.95657726692209455</v>
      </c>
      <c r="AO31" s="1120">
        <f>IF(ISNUMBER(FIND("06",Criterios!A8,1)),(IF(ISNUMBER(((Datos!R31/Datos!Q31)*11)/factor_trimestre),((Datos!R31/Datos!Q31)*11)/factor_trimestre," - ")),(IF(ISNUMBER(((Datos!L31/Datos!K31)*11)/factor_trimestre),((Datos!L31/Datos!K31)*11)/factor_trimestre," - ")))</f>
        <v>5.2610146862483314</v>
      </c>
      <c r="AP31" s="1131" t="str">
        <f>IF(ISNUMBER(Datos!CI31/Datos!CJ31),Datos!CI31/Datos!CJ31," - ")</f>
        <v xml:space="preserve"> - </v>
      </c>
      <c r="AQ31" s="1131">
        <f>IF(OR(ISNUMBER(FIND("01",Criterios!A8,1)),ISNUMBER(FIND("02",Criterios!A8,1)),ISNUMBER(FIND("03",Criterios!A8,1)),ISNUMBER(FIND("04",Criterios!A8,1))),(J31-Y31+K31)/(F31-K31),(I31-Y31+K31)/(F31-K31))</f>
        <v>-0.93731918997107044</v>
      </c>
      <c r="AR31" s="1131">
        <f>IF(ISNUMBER((Datos!P31-Datos!Q31+O31)/(Datos!R31-Datos!P31+Datos!Q31-O31)),(Datos!P31-Datos!Q31+O31)/(Datos!R31-Datos!P31+Datos!Q31-O31)," - ")</f>
        <v>-1.1149698409797112E-2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679.42857142857144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1034.8164410496515</v>
      </c>
      <c r="G33" s="674">
        <f>IF(ISNUMBER(STDEV(G8:G30)),STDEV(G8:G30),"-")</f>
        <v>1028.7336644539987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139.48579036692487</v>
      </c>
      <c r="AK33" s="276"/>
      <c r="AL33" s="276">
        <f>IF(ISNUMBER(STDEV(AL8:AL30)),STDEV(AL8:AL30),"-")</f>
        <v>0</v>
      </c>
      <c r="AM33" s="278">
        <f>IF(ISNUMBER(STDEV(AM8:AM30)),STDEV(AM8:AM30),"-")</f>
        <v>0</v>
      </c>
      <c r="AN33" s="660">
        <f>IF(ISNUMBER(STDEV(AN8:AN30)),STDEV(AN8:AN30),"-")</f>
        <v>0</v>
      </c>
      <c r="AO33" s="661">
        <f>IF(ISNUMBER(STDEV(AO8:AO30)),STDEV(AO8:AO30),"-")</f>
        <v>12.452138659675065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n+hOqe/cAmfcAC2qiWRZiUpHzJvpSa7IcqG9woOhzqsAx7C8G5+HGo+AHY73vQvmioyDIGv1kNylt+iihwhcdA==" saltValue="m8735j9zNdV7ou6Ym38vi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rmUd0s9fXh9zvsWtR1u5yeb6shrCH3FWos3kT/bZTxXs6FXuiaoNA9he68/tfGfBCXbY/tx22lz3f5Si0xIJA==" saltValue="fMj9MJ0M2GojqdNNVp1R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aqtq+pjPbECCx2DjU9x39WydynaMJ3Jeip2NMGrnMgsyYetAuOfpJF0KAPgxG/kA181NOe5h5Dk72xSbAyfYA==" saltValue="iVtIiiK446qGdZElyDqJz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PALENCIA  Resumenes por Partidos Judiciales  PALENCIA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0.25100563153660499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0.17748778417554531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Yhvtq+Jtjoei9nP59INrI6c8C5iq4mQoujblr/8gh+JWqJnwhRWleL/MFoyDmY8iQ9LrSvnyS92pmaduFBhMA==" saltValue="qF5X+johTpACZFikmxGvc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FtZnf6jBS8YIF21mCzQuRW9lbQEf5yfLcQ13i80TkI6cz3HybiRCv/fhYIz+wITQRM2DwWGtZ+kA/adtGaMPg==" saltValue="MPNDJcjMqThWxnpDASDV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PALENCIA</v>
      </c>
      <c r="D3" s="436"/>
      <c r="E3" s="436"/>
      <c r="F3" s="436"/>
    </row>
    <row r="4" spans="1:14" ht="13.5" thickBot="1">
      <c r="A4" s="436"/>
      <c r="B4" s="439" t="str">
        <f>Criterios!A11 &amp;"  "&amp;Criterios!B11</f>
        <v>Resumenes por Partidos Judiciales  PALENCIA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47</v>
      </c>
      <c r="D10" s="452">
        <f>IF(ISNUMBER(C10/Datos!BH10),C10/Datos!BH10," - ")</f>
        <v>47</v>
      </c>
      <c r="E10" s="451">
        <f>IF(ISNUMBER(Datos!J10),Datos!J10," - ")</f>
        <v>18</v>
      </c>
      <c r="F10" s="452">
        <f>IF(ISNUMBER(E10/B10),E10/B10," - ")</f>
        <v>18</v>
      </c>
      <c r="G10" s="451">
        <f>IF(ISNUMBER(Datos!K10),Datos!K10," - ")</f>
        <v>5</v>
      </c>
      <c r="H10" s="452">
        <f>IF(ISNUMBER(G10/B10),G10/B10," - ")</f>
        <v>5</v>
      </c>
      <c r="I10" s="451">
        <f>IF(ISNUMBER(Datos!L10),Datos!L10," - ")</f>
        <v>60</v>
      </c>
      <c r="J10" s="452">
        <f>IF(ISNUMBER(I10/B10),I10/B10," - ")</f>
        <v>60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2921</v>
      </c>
      <c r="D12" s="452">
        <f>IF(ISNUMBER(C12/Datos!BH12),C12/Datos!BH12," - ")</f>
        <v>417.28571428571428</v>
      </c>
      <c r="E12" s="451">
        <f>IF(ISNUMBER(IF(J_V="SI",Datos!J12,Datos!J12+Datos!Z12)),IF(J_V="SI",Datos!J12,Datos!J12+Datos!Z12)," - ")</f>
        <v>1421</v>
      </c>
      <c r="F12" s="452">
        <f>IF(ISNUMBER(E12/B12),E12/B12," - ")</f>
        <v>203</v>
      </c>
      <c r="G12" s="451">
        <f>IF(ISNUMBER(IF(J_V="SI",Datos!K12,Datos!K12+Datos!AA12)),IF(J_V="SI",Datos!K12,Datos!K12+Datos!AA12)," - ")</f>
        <v>1238</v>
      </c>
      <c r="H12" s="452">
        <f>IF(ISNUMBER(G12/B12),G12/B12," - ")</f>
        <v>176.85714285714286</v>
      </c>
      <c r="I12" s="451">
        <f>IF(ISNUMBER(IF(J_V="SI",Datos!L12,Datos!L12+Datos!AB12)),IF(J_V="SI",Datos!L12,Datos!L12+Datos!AB12)," - ")</f>
        <v>3084</v>
      </c>
      <c r="J12" s="452">
        <f>IF(ISNUMBER(I12/B12),I12/B12," - ")</f>
        <v>440.57142857142856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2968</v>
      </c>
      <c r="D14" s="1147" t="str">
        <f>IF(ISNUMBER(C14/Datos!BI14),C14/Datos!BI14," - ")</f>
        <v xml:space="preserve"> - </v>
      </c>
      <c r="E14" s="1146">
        <f>SUBTOTAL(9,E8:E13)</f>
        <v>1439</v>
      </c>
      <c r="F14" s="1147">
        <f>IF(ISNUMBER(E14/B14),E14/B14," - ")</f>
        <v>205.57142857142858</v>
      </c>
      <c r="G14" s="1146">
        <f>SUBTOTAL(9,G8:G13)</f>
        <v>1243</v>
      </c>
      <c r="H14" s="1147">
        <f>IF(ISNUMBER(G14/B14),G14/B14," - ")</f>
        <v>177.57142857142858</v>
      </c>
      <c r="I14" s="1146">
        <f>SUBTOTAL(9,I8:I13)</f>
        <v>3144</v>
      </c>
      <c r="J14" s="1147">
        <f>IF(ISNUMBER(I14/B14),I14/B14," - ")</f>
        <v>449.14285714285717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2010</v>
      </c>
      <c r="D17" s="452">
        <f>IF(ISNUMBER(C17/Datos!BH17),C17/Datos!BH17," - ")</f>
        <v>287.14285714285717</v>
      </c>
      <c r="E17" s="451">
        <f>IF(ISNUMBER(IF(D_I="SI",Datos!J17,Datos!J17+Datos!AD17)),IF(D_I="SI",Datos!J17,Datos!J17+Datos!AD17)," - ")</f>
        <v>1757</v>
      </c>
      <c r="F17" s="452">
        <f>IF(ISNUMBER(E17/B17),E17/B17," - ")</f>
        <v>251</v>
      </c>
      <c r="G17" s="451">
        <f>IF(ISNUMBER(IF(D_I="SI",Datos!K17,Datos!K17+Datos!AE17)),IF(D_I="SI",Datos!K17,Datos!K17+Datos!AE17)," - ")</f>
        <v>1821</v>
      </c>
      <c r="H17" s="452">
        <f>IF(ISNUMBER(G17/B17),G17/B17," - ")</f>
        <v>260.14285714285717</v>
      </c>
      <c r="I17" s="451">
        <f>IF(ISNUMBER(IF(D_I="SI",Datos!L17,Datos!L17+Datos!AF17)),IF(D_I="SI",Datos!L17,Datos!L17+Datos!AF17)," - ")</f>
        <v>1963</v>
      </c>
      <c r="J17" s="452">
        <f>IF(ISNUMBER(I17/B17),I17/B17," - ")</f>
        <v>280.42857142857144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321</v>
      </c>
      <c r="D18" s="452">
        <f>IF(ISNUMBER(C18/Datos!BH18),C18/Datos!BH18," - ")</f>
        <v>321</v>
      </c>
      <c r="E18" s="451">
        <f>IF(ISNUMBER(IF(D_I="SI",Datos!J18,Datos!J18+Datos!AD18)),IF(D_I="SI",Datos!J18,Datos!J18+Datos!AD18)," - ")</f>
        <v>106</v>
      </c>
      <c r="F18" s="452">
        <f>IF(ISNUMBER(E18/B18),E18/B18," - ")</f>
        <v>106</v>
      </c>
      <c r="G18" s="451">
        <f>IF(ISNUMBER(IF(D_I="SI",Datos!K18,Datos!K18+Datos!AE18)),IF(D_I="SI",Datos!K18,Datos!K18+Datos!AE18)," - ")</f>
        <v>118</v>
      </c>
      <c r="H18" s="452">
        <f>IF(ISNUMBER(G18/B18),G18/B18," - ")</f>
        <v>118</v>
      </c>
      <c r="I18" s="451">
        <f>IF(ISNUMBER(IF(D_I="SI",Datos!L18,Datos!L18+Datos!AF18)),IF(D_I="SI",Datos!L18,Datos!L18+Datos!AF18)," - ")</f>
        <v>309</v>
      </c>
      <c r="J18" s="452">
        <f>IF(ISNUMBER(I18/B18),I18/B18," - ")</f>
        <v>309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2331</v>
      </c>
      <c r="D23" s="1147" t="str">
        <f>IF(ISNUMBER(C23/Datos!BI23),C23/Datos!BI23," - ")</f>
        <v xml:space="preserve"> - </v>
      </c>
      <c r="E23" s="1146">
        <f>SUBTOTAL(9,E15:E22)</f>
        <v>1863</v>
      </c>
      <c r="F23" s="1147">
        <f>IF(ISNUMBER(E23/B23),E23/B23," - ")</f>
        <v>266.14285714285717</v>
      </c>
      <c r="G23" s="1146">
        <f>SUBTOTAL(9,G15:G22)</f>
        <v>1939</v>
      </c>
      <c r="H23" s="1147">
        <f>IF(ISNUMBER(G23/B23),G23/B23," - ")</f>
        <v>277</v>
      </c>
      <c r="I23" s="1146">
        <f>SUBTOTAL(9,I15:I22)</f>
        <v>2272</v>
      </c>
      <c r="J23" s="1147">
        <f>IF(ISNUMBER(I23/B23),I23/B23," - ")</f>
        <v>324.57142857142856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5299</v>
      </c>
      <c r="D31" s="1085" t="str">
        <f>IF(ISNUMBER(C31/Datos!BI31),C31/Datos!BI31," - ")</f>
        <v xml:space="preserve"> - </v>
      </c>
      <c r="E31" s="1084">
        <f>SUBTOTAL(9,E9:E30)</f>
        <v>3302</v>
      </c>
      <c r="F31" s="1085">
        <f>IF(ISNUMBER(E31/B31),E31/B31," - ")</f>
        <v>471.71428571428572</v>
      </c>
      <c r="G31" s="1084">
        <f>SUBTOTAL(9,G9:G30)</f>
        <v>3182</v>
      </c>
      <c r="H31" s="1085">
        <f>IF(ISNUMBER(G31/B31),G31/B31," - ")</f>
        <v>454.57142857142856</v>
      </c>
      <c r="I31" s="1084">
        <f>SUBTOTAL(9,I9:I30)</f>
        <v>5416</v>
      </c>
      <c r="J31" s="1085">
        <f>IF(ISNUMBER(I31/B31),I31/B31," - ")</f>
        <v>773.71428571428567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5BCNgmVIzmzksLLF2q/7ScjpWmiV5ls0LU7HViUN3DIZWGJJLyUuhmsEHxgyxGmZynkXMqh1hI+RN2tBpe22uw==" saltValue="0iHzGloHdgGRPgliARvsd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PALENCIA  Resumenes por Partidos Judiciales  PALENCIA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47</v>
      </c>
      <c r="G10" s="906">
        <f>IF(ISNUMBER(Datos!I10),Datos!I10," - ")</f>
        <v>47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60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361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5188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311</v>
      </c>
      <c r="AM12" s="914">
        <f>IF(ISNUMBER(Datos!N12+DatosP!N17),Datos!N12+DatosP!N17," - ")</f>
        <v>526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7.4733441033925692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-1.3125356667300742E-2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47</v>
      </c>
      <c r="G14" s="1256">
        <f t="shared" si="0"/>
        <v>47</v>
      </c>
      <c r="H14" s="1256">
        <f t="shared" si="0"/>
        <v>0</v>
      </c>
      <c r="I14" s="1258">
        <f t="shared" si="0"/>
        <v>0</v>
      </c>
      <c r="J14" s="1257">
        <f t="shared" si="0"/>
        <v>0</v>
      </c>
      <c r="K14" s="1257">
        <f t="shared" si="0"/>
        <v>0</v>
      </c>
      <c r="L14" s="1259">
        <f t="shared" si="0"/>
        <v>0</v>
      </c>
      <c r="M14" s="1259">
        <f t="shared" si="0"/>
        <v>0</v>
      </c>
      <c r="N14" s="1257">
        <f t="shared" si="0"/>
        <v>292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361</v>
      </c>
      <c r="AE14" s="1257">
        <f t="shared" si="1"/>
        <v>0</v>
      </c>
      <c r="AF14" s="1257">
        <f t="shared" si="1"/>
        <v>60</v>
      </c>
      <c r="AG14" s="1257">
        <f t="shared" si="1"/>
        <v>0</v>
      </c>
      <c r="AH14" s="1257">
        <f t="shared" si="1"/>
        <v>5188</v>
      </c>
      <c r="AI14" s="1257">
        <f t="shared" si="1"/>
        <v>0</v>
      </c>
      <c r="AJ14" s="1257">
        <f t="shared" si="1"/>
        <v>0</v>
      </c>
      <c r="AK14" s="1257">
        <f t="shared" si="1"/>
        <v>0</v>
      </c>
      <c r="AL14" s="1257">
        <f t="shared" si="1"/>
        <v>312</v>
      </c>
      <c r="AM14" s="1257">
        <f t="shared" si="1"/>
        <v>527</v>
      </c>
      <c r="AN14" s="1257">
        <f t="shared" si="1"/>
        <v>0</v>
      </c>
      <c r="AO14" s="1257">
        <f t="shared" si="1"/>
        <v>0</v>
      </c>
      <c r="AP14" s="1262">
        <f>IF(ISNUMBER(((Datos!L14/Datos!K14)*11)/factor_trimestre),((Datos!L14/Datos!K14)*11)/factor_trimestre," - ")</f>
        <v>8.4635761589403984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-0.10638297872340426</v>
      </c>
      <c r="AU14" s="1257" t="str">
        <f>IF(ISNUMBER((DatosP!#REF!-DatosP!#REF!+DatosP!#REF!)/(DatosP!#REF!+DatosP!#REF!-DatosP!#REF!-DatosP!#REF!)),(DatosP!#REF!-DatosP!#REF!+DatosP!#REF!)/(DatosP!#REF!+DatosP!#REF!-DatosP!#REF!-DatosP!#REF!)," - ")</f>
        <v xml:space="preserve"> - </v>
      </c>
      <c r="AV14" s="1263">
        <f>SUBTOTAL(9,AV9:AV13)</f>
        <v>-1.3125356667300742E-2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3.5152140278494066</v>
      </c>
      <c r="AQ23" s="1262">
        <f>IF(ISNUMBER(((Datos!M23/Datos!L23)*11)/factor_trimestre),((Datos!M23/Datos!L23)*11)/factor_trimestre," - ")</f>
        <v>0.24823943661971831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3.7383177570093455E-2</v>
      </c>
      <c r="AW23" s="1265">
        <f>IF(ISNUMBER((Datos!Q23-Datos!R23)/(Datos!S23-Datos!Q23+Datos!R23)),(Datos!Q23-Datos!R23)/(Datos!S23-Datos!Q23+Datos!R23)," - ")</f>
        <v>-7.3997519636213316E-2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47</v>
      </c>
      <c r="G31" s="1278">
        <f t="shared" si="8"/>
        <v>47</v>
      </c>
      <c r="H31" s="1278">
        <f t="shared" si="8"/>
        <v>0</v>
      </c>
      <c r="I31" s="1279">
        <f t="shared" si="8"/>
        <v>0</v>
      </c>
      <c r="J31" s="1280">
        <f t="shared" si="8"/>
        <v>0</v>
      </c>
      <c r="K31" s="1280">
        <f t="shared" si="8"/>
        <v>0</v>
      </c>
      <c r="L31" s="1280">
        <f t="shared" si="8"/>
        <v>0</v>
      </c>
      <c r="M31" s="1280">
        <f t="shared" si="8"/>
        <v>0</v>
      </c>
      <c r="N31" s="1279">
        <f t="shared" si="8"/>
        <v>292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361</v>
      </c>
      <c r="AE31" s="1284">
        <f t="shared" si="9"/>
        <v>0</v>
      </c>
      <c r="AF31" s="1285">
        <f t="shared" si="9"/>
        <v>60</v>
      </c>
      <c r="AG31" s="1285">
        <f t="shared" si="9"/>
        <v>0</v>
      </c>
      <c r="AH31" s="1285">
        <f t="shared" si="9"/>
        <v>5188</v>
      </c>
      <c r="AI31" s="1285">
        <f t="shared" si="9"/>
        <v>0</v>
      </c>
      <c r="AJ31" s="1286">
        <f t="shared" si="9"/>
        <v>0</v>
      </c>
      <c r="AK31" s="1286">
        <f t="shared" si="9"/>
        <v>0</v>
      </c>
      <c r="AL31" s="1278">
        <f t="shared" si="9"/>
        <v>312</v>
      </c>
      <c r="AM31" s="1278">
        <f t="shared" si="9"/>
        <v>527</v>
      </c>
      <c r="AN31" s="1278">
        <f t="shared" si="9"/>
        <v>0</v>
      </c>
      <c r="AO31" s="1278">
        <f t="shared" si="9"/>
        <v>0</v>
      </c>
      <c r="AP31" s="1278">
        <f>IF(ISNUMBER(((Datos!L31/Datos!K31)*11)/factor_trimestre),((Datos!L31/Datos!K31)*11)/factor_trimestre," - ")</f>
        <v>5.2610146862483314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-0.10638297872340426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-1.1149698409797112E-2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25.742960202742807</v>
      </c>
      <c r="G33" s="1007">
        <f>IF(ISNUMBER(STDEV(G8:G30)),STDEV(G8:G30),"-")</f>
        <v>25.742960202742807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160.72958657322553</v>
      </c>
      <c r="AM33" s="1006"/>
      <c r="AN33" s="1006">
        <f>IF(ISNUMBER(STDEV(AN8:AN30)),STDEV(AN8:AN30),"-")</f>
        <v>0</v>
      </c>
      <c r="AO33" s="1012">
        <f>IF(ISNUMBER(STDEV(AO8:AO30)),STDEV(AO8:AO30),"-")</f>
        <v>0</v>
      </c>
      <c r="AP33" s="1065">
        <f>IF(ISNUMBER(STDEV(AP8:AP30)),STDEV(AP8:AP30),"-")</f>
        <v>14.91201890884644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cg0+4Jx8QAERlHcCEw0MbPOOobjT2UyR/aiESYe3C6dGaGFtqtDZfVh0QSqt6/Jg4uWDlufKX8PR735L7uTFAA==" saltValue="jHHMtjVvyIcQ/3HNzYKh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PALENCIA</v>
      </c>
      <c r="C3" s="463"/>
      <c r="F3" s="436"/>
      <c r="G3" s="436"/>
      <c r="H3" s="436"/>
    </row>
    <row r="4" spans="1:15" ht="13.5" thickBot="1">
      <c r="A4" s="436"/>
      <c r="B4" s="439" t="str">
        <f>Criterios!A11 &amp;"  "&amp;Criterios!B11</f>
        <v>Resumenes por Partidos Judiciales  PALENCIA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2J+VJ+LyoQMXw364lOMfxD2R0OaqnZO7/c1yU+ghd6uZg3TEmfBZIx5FFSMmNxp0qE+yfCwO8D3IIyfpqfUG/A==" saltValue="AJ1tiUjo89/zi1tBy8UEa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PALENCIA</v>
      </c>
      <c r="C3" s="475"/>
      <c r="D3" s="476"/>
    </row>
    <row r="4" spans="1:9" ht="13.5" thickBot="1">
      <c r="B4" s="477" t="str">
        <f>Criterios!A11 &amp;"  "&amp;Criterios!B11</f>
        <v>Resumenes por Partidos Judiciales  PALENCIA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311</v>
      </c>
      <c r="E12" s="452">
        <f t="shared" si="0"/>
        <v>44.428571428571431</v>
      </c>
      <c r="F12" s="451">
        <f>IF(ISNUMBER(Datos!N12),Datos!N12," - ")</f>
        <v>526</v>
      </c>
      <c r="G12" s="452">
        <f t="shared" si="1"/>
        <v>75.142857142857139</v>
      </c>
      <c r="H12" s="451">
        <f>IF(ISNUMBER(Datos!O12),Datos!O12," - ")</f>
        <v>545</v>
      </c>
      <c r="I12" s="452">
        <f t="shared" si="2"/>
        <v>77.857142857142861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312</v>
      </c>
      <c r="E14" s="1147">
        <f t="shared" si="0"/>
        <v>39</v>
      </c>
      <c r="F14" s="1146">
        <f>SUBTOTAL(9,F9:F13)</f>
        <v>527</v>
      </c>
      <c r="G14" s="1147">
        <f t="shared" si="1"/>
        <v>65.875</v>
      </c>
      <c r="H14" s="1146">
        <f>SUBTOTAL(9,H9:H13)</f>
        <v>547</v>
      </c>
      <c r="I14" s="1147">
        <f>IF(ISNUMBER(H14/B14),H14/B14," - ")</f>
        <v>68.375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178</v>
      </c>
      <c r="E17" s="452">
        <f t="shared" si="3"/>
        <v>25.428571428571427</v>
      </c>
      <c r="F17" s="451">
        <f>IF(ISNUMBER(Datos!N17),Datos!N17," - ")</f>
        <v>1257</v>
      </c>
      <c r="G17" s="452">
        <f t="shared" si="4"/>
        <v>179.57142857142858</v>
      </c>
      <c r="H17" s="451">
        <f>IF(ISNUMBER(Datos!O17),Datos!O17," - ")</f>
        <v>19</v>
      </c>
      <c r="I17" s="452">
        <f t="shared" si="5"/>
        <v>2.7142857142857144</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65</v>
      </c>
      <c r="G18" s="452">
        <f>IF(ISNUMBER(F18/B18),F18/B18," - ")</f>
        <v>65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188</v>
      </c>
      <c r="E23" s="1147">
        <f t="shared" si="3"/>
        <v>23.5</v>
      </c>
      <c r="F23" s="1146">
        <f>SUBTOTAL(9,F16:F22)</f>
        <v>1322</v>
      </c>
      <c r="G23" s="1147">
        <f t="shared" si="4"/>
        <v>165.25</v>
      </c>
      <c r="H23" s="1146">
        <f>SUBTOTAL(9,H16:H22)</f>
        <v>19</v>
      </c>
      <c r="I23" s="1147">
        <f>IF(ISNUMBER(H23/B23),H23/B23," - ")</f>
        <v>2.375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500</v>
      </c>
      <c r="E31" s="1085">
        <f>IF(ISNUMBER(D31/B31),D31/B31," - ")</f>
        <v>71.428571428571431</v>
      </c>
      <c r="F31" s="1084">
        <f>SUBTOTAL(9,F8:F30)</f>
        <v>1849</v>
      </c>
      <c r="G31" s="1085">
        <f>IF(ISNUMBER(F31/B31),F31/B31," - ")</f>
        <v>264.14285714285717</v>
      </c>
      <c r="H31" s="1084">
        <f>SUBTOTAL(9,H8:H30)</f>
        <v>566</v>
      </c>
      <c r="I31" s="1085">
        <f>IF(ISNUMBER(H31/B31),H31/B31," - ")</f>
        <v>80.857142857142861</v>
      </c>
    </row>
    <row r="34" spans="1:1">
      <c r="A34" s="439" t="str">
        <f>Criterios!A4</f>
        <v>Fecha Informe: 06 may. 2023</v>
      </c>
    </row>
    <row r="39" spans="1:1">
      <c r="A39" s="462"/>
    </row>
  </sheetData>
  <sheetProtection algorithmName="SHA-512" hashValue="eMoxi1wEysm/F2uXpkq2FI60telBpRrpZR/Vh699cfzmTpN+flzq0JEo4jJFmXOeC8b4XSQi99hL0gerVeDn/w==" saltValue="2rrmmt2kX90f+l/LRvBh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PALENCIA</v>
      </c>
    </row>
    <row r="4" spans="1:4" ht="13.5" thickBot="1">
      <c r="B4" s="439" t="str">
        <f>Criterios!A11 &amp;"  "&amp;Criterios!B11</f>
        <v>Resumenes por Partidos Judiciales  PALENCIA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292</v>
      </c>
      <c r="C12" s="489">
        <f>IF(ISNUMBER(Datos!Q12),Datos!Q12," - ")</f>
        <v>361</v>
      </c>
      <c r="D12" s="456">
        <f>IF(ISNUMBER(Datos!R12),Datos!R12," - ")</f>
        <v>5188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292</v>
      </c>
      <c r="C14" s="1150">
        <f>SUBTOTAL(9,C9:C13)</f>
        <v>361</v>
      </c>
      <c r="D14" s="1148">
        <f>SUBTOTAL(9,D9:D13)</f>
        <v>5188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51</v>
      </c>
      <c r="C17" s="489">
        <f>IF(ISNUMBER(Datos!Q17),Datos!Q17," - ")</f>
        <v>43</v>
      </c>
      <c r="D17" s="456">
        <f>IF(ISNUMBER(Datos!R17),Datos!R17," - ")</f>
        <v>217</v>
      </c>
    </row>
    <row r="18" spans="1:4">
      <c r="A18" s="450" t="str">
        <f>Datos!A18</f>
        <v>Jdos. Violencia contra la mujer</v>
      </c>
      <c r="B18" s="488">
        <f>IF(ISNUMBER(Datos!P18),Datos!P18," - ")</f>
        <v>0</v>
      </c>
      <c r="C18" s="489">
        <f>IF(ISNUMBER(Datos!Q18),Datos!Q18," - ")</f>
        <v>0</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51</v>
      </c>
      <c r="C23" s="1150">
        <f>SUBTOTAL(9,C16:C22)</f>
        <v>43</v>
      </c>
      <c r="D23" s="1148">
        <f>SUBTOTAL(9,D16:D22)</f>
        <v>222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343</v>
      </c>
      <c r="C31" s="1089">
        <f>SUBTOTAL(9,C8:C30)</f>
        <v>404</v>
      </c>
      <c r="D31" s="1090">
        <f>SUBTOTAL(9,D8:D30)</f>
        <v>5410</v>
      </c>
    </row>
    <row r="32" spans="1:4" ht="7.5" customHeight="1"/>
    <row r="33" spans="1:1" ht="6" customHeight="1"/>
    <row r="34" spans="1:1">
      <c r="A34" s="439" t="str">
        <f>Criterios!A4</f>
        <v>Fecha Informe: 06 may. 2023</v>
      </c>
    </row>
    <row r="39" spans="1:1">
      <c r="A39" s="462"/>
    </row>
  </sheetData>
  <sheetProtection algorithmName="SHA-512" hashValue="d2PoEGE6vfuInsZ7m+ZUu6bTz3aob1wMjbIxbbCZECbILmhasay8TYZNZfk5TPkUXkl7Rt+BwHhVcdVchiKBqw==" saltValue="ldaSEMFARbQ6ucET8UQ7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PALENCIA</v>
      </c>
    </row>
    <row r="4" spans="1:11" ht="10.5" customHeight="1" thickBot="1">
      <c r="B4" s="439" t="str">
        <f>Criterios!A11 &amp;"  "&amp;Criterios!B11</f>
        <v>Resumenes por Partidos Judiciales  PALENCIA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2.1739130434782608E-2</v>
      </c>
      <c r="C10" s="515">
        <f>IF(ISNUMBER((Datos!J10-Datos!T10)/Datos!T10),(Datos!J10-Datos!T10)/Datos!T10," - ")</f>
        <v>-5.2631578947368418E-2</v>
      </c>
      <c r="D10" s="515">
        <f>IF(ISNUMBER((Datos!K10-Datos!U10)/Datos!U10),(Datos!K10-Datos!U10)/Datos!U10," - ")</f>
        <v>-0.375</v>
      </c>
      <c r="E10" s="515">
        <f>IF(ISNUMBER((Datos!L10-Datos!V10)/Datos!V10),(Datos!L10-Datos!V10)/Datos!V10," - ")</f>
        <v>5.2631578947368418E-2</v>
      </c>
      <c r="F10" s="515">
        <f>IF(ISNUMBER((Datos!M10-Datos!W10)/Datos!W10),(Datos!M10-Datos!W10)/Datos!W10," - ")</f>
        <v>-0.8571428571428571</v>
      </c>
      <c r="G10" s="516">
        <f>IF(ISNUMBER((Datos!N10-Datos!X10)/Datos!X10),(Datos!N10-Datos!X10)/Datos!X10," - ")</f>
        <v>0</v>
      </c>
      <c r="H10" s="514">
        <f>IF(ISNUMBER(((NºAsuntos!G10/NºAsuntos!E10)-Datos!BD10)/Datos!BD10),((NºAsuntos!G10/NºAsuntos!E10)-Datos!BD10)/Datos!BD10," - ")</f>
        <v>-0.34027777777777773</v>
      </c>
      <c r="I10" s="515">
        <f>IF(ISNUMBER(((NºAsuntos!I10/NºAsuntos!G10)-Datos!BE10)/Datos!BE10),((NºAsuntos!I10/NºAsuntos!G10)-Datos!BE10)/Datos!BE10," - ")</f>
        <v>0.68421052631578949</v>
      </c>
      <c r="J10" s="521">
        <f>IF(ISNUMBER((('Resol  Asuntos'!D10/NºAsuntos!G10)-Datos!BF10)/Datos!BF10),(('Resol  Asuntos'!D10/NºAsuntos!G10)-Datos!BF10)/Datos!BF10," - ")</f>
        <v>-0.77142857142857146</v>
      </c>
      <c r="K10" s="522">
        <f>IF(ISNUMBER((((NºAsuntos!C10+NºAsuntos!E10)/NºAsuntos!G10)-Datos!BG10)/Datos!BG10),(((NºAsuntos!C10+NºAsuntos!E10)/NºAsuntos!G10)-Datos!BG10)/Datos!BG10," - ")</f>
        <v>0.6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1.1426592797783934E-2</v>
      </c>
      <c r="C12" s="515">
        <f>IF(ISNUMBER(
   IF(J_V="SI",(Datos!J12-Datos!T12)/Datos!T12,(Datos!J12+Datos!Z12-(Datos!T12+Datos!AH12))/(Datos!T12+Datos!AH12))
     ),IF(J_V="SI",(Datos!J12-Datos!T12)/Datos!T12,(Datos!J12+Datos!Z12-(Datos!T12+Datos!AH12))/(Datos!T12+Datos!AH12))," - ")</f>
        <v>-3.5302104548540394E-2</v>
      </c>
      <c r="D12" s="515">
        <f>IF(ISNUMBER(
   IF(J_V="SI",(Datos!K12-Datos!U12)/Datos!U12,(Datos!K12+Datos!AA12-(Datos!U12+Datos!AI12))/(Datos!U12+Datos!AI12))
     ),IF(J_V="SI",(Datos!K12-Datos!U12)/Datos!U12,(Datos!K12+Datos!AA12-(Datos!U12+Datos!AI12))/(Datos!U12+Datos!AI12))," - ")</f>
        <v>-0.19348534201954398</v>
      </c>
      <c r="E12" s="515">
        <f>IF(ISNUMBER(
   IF(J_V="SI",(Datos!L12-Datos!V12)/Datos!V12,(Datos!L12+Datos!AB12-(Datos!V12+Datos!AJ12))/(Datos!V12+Datos!AJ12))
     ),IF(J_V="SI",(Datos!L12-Datos!V12)/Datos!V12,(Datos!L12+Datos!AB12-(Datos!V12+Datos!AJ12))/(Datos!V12+Datos!AJ12))," - ")</f>
        <v>9.9857346647646214E-2</v>
      </c>
      <c r="F12" s="515">
        <f>IF(ISNUMBER((Datos!M12-Datos!W12)/Datos!W12),(Datos!M12-Datos!W12)/Datos!W12," - ")</f>
        <v>-0.55886524822695038</v>
      </c>
      <c r="G12" s="516">
        <f>IF(ISNUMBER((Datos!N12-Datos!X12)/Datos!X12),(Datos!N12-Datos!X12)/Datos!X12," - ")</f>
        <v>0.6967741935483871</v>
      </c>
      <c r="H12" s="514">
        <f>IF(ISNUMBER(((NºAsuntos!G12/NºAsuntos!E12)-Datos!BD12)/Datos!BD12),((NºAsuntos!G12/NºAsuntos!E12)-Datos!BD12)/Datos!BD12," - ")</f>
        <v>-0.16397178662546683</v>
      </c>
      <c r="I12" s="515">
        <f>IF(ISNUMBER(((NºAsuntos!I12/NºAsuntos!G12)-Datos!BE12)/Datos!BE12),((NºAsuntos!I12/NºAsuntos!G12)-Datos!BE12)/Datos!BE12," - ")</f>
        <v>0.36371650008411693</v>
      </c>
      <c r="J12" s="521">
        <f>IF(ISNUMBER((('Resol  Asuntos'!D12/NºAsuntos!G12)-Datos!BF12)/Datos!BF12),(('Resol  Asuntos'!D12/NºAsuntos!G12)-Datos!BF12)/Datos!BF12," - ")</f>
        <v>0.2439027567877429</v>
      </c>
      <c r="K12" s="522">
        <f>IF(ISNUMBER((((NºAsuntos!C12+NºAsuntos!E12)/NºAsuntos!G12)-Datos!BG12)/Datos!BG12),(((NºAsuntos!C12+NºAsuntos!E12)/NºAsuntos!G12)-Datos!BG12)/Datos!BG12," - ")</f>
        <v>0.23450106113854657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1.1588275391956374E-2</v>
      </c>
      <c r="C14" s="1152">
        <f>IF(ISNUMBER(
   IF(J_V="SI",(Datos!J14-Datos!T14)/Datos!T14,(Datos!J14+Datos!Z14-(Datos!T14+Datos!AH14))/(Datos!T14+Datos!AH14))
     ),IF(J_V="SI",(Datos!J14-Datos!T14)/Datos!T14,(Datos!J14+Datos!Z14-(Datos!T14+Datos!AH14))/(Datos!T14+Datos!AH14))," - ")</f>
        <v>-3.5522788203753354E-2</v>
      </c>
      <c r="D14" s="1152">
        <f>IF(ISNUMBER(
   IF(J_V="SI",(Datos!K14-Datos!U14)/Datos!U14,(Datos!K14+Datos!AA14-(Datos!U14+Datos!AI14))/(Datos!U14+Datos!AI14))
     ),IF(J_V="SI",(Datos!K14-Datos!U14)/Datos!U14,(Datos!K14+Datos!AA14-(Datos!U14+Datos!AI14))/(Datos!U14+Datos!AI14))," - ")</f>
        <v>-0.19442644199611148</v>
      </c>
      <c r="E14" s="1152">
        <f>IF(ISNUMBER(
   IF(J_V="SI",(Datos!L14-Datos!V14)/Datos!V14,(Datos!L14+Datos!AB14-(Datos!V14+Datos!AJ14))/(Datos!V14+Datos!AJ14))
     ),IF(J_V="SI",(Datos!L14-Datos!V14)/Datos!V14,(Datos!L14+Datos!AB14-(Datos!V14+Datos!AJ14))/(Datos!V14+Datos!AJ14))," - ")</f>
        <v>9.8916462775253414E-2</v>
      </c>
      <c r="F14" s="1153">
        <f>IF(ISNUMBER((Datos!M14-Datos!W14)/Datos!W14),(Datos!M14-Datos!W14)/Datos!W14," - ")</f>
        <v>-0.5617977528089888</v>
      </c>
      <c r="G14" s="1154">
        <f>IF(ISNUMBER((Datos!N14-Datos!X14)/Datos!X14),(Datos!N14-Datos!X14)/Datos!X14," - ")</f>
        <v>0.69453376205787787</v>
      </c>
      <c r="H14" s="1154">
        <f>IF(ISNUMBER(((NºAsuntos!G14/NºAsuntos!E14)-Datos!BD14)/Datos!BD14),((NºAsuntos!G14/NºAsuntos!E14)-Datos!BD14)/Datos!BD14," - ")</f>
        <v>-0.16475625535663538</v>
      </c>
      <c r="I14" s="1154">
        <f>IF(ISNUMBER(((NºAsuntos!I14/NºAsuntos!G14)-Datos!BE14)/Datos!BE14),((NºAsuntos!I14/NºAsuntos!G14)-Datos!BE14)/Datos!BE14," - ")</f>
        <v>0.36414167502994038</v>
      </c>
      <c r="J14" s="1154">
        <f>IF(ISNUMBER((('Resol  Asuntos'!D14/NºAsuntos!G14)-Datos!BF14)/Datos!BF14),(('Resol  Asuntos'!D14/NºAsuntos!G14)-Datos!BF14)/Datos!BF14," - ")</f>
        <v>0.22177189104410572</v>
      </c>
      <c r="K14" s="1154">
        <f>IF(ISNUMBER((((NºAsuntos!C14+NºAsuntos!E14)/NºAsuntos!G14)-Datos!BG14)/Datos!BG14),(((NºAsuntos!C14+NºAsuntos!E14)/NºAsuntos!G14)-Datos!BG14)/Datos!BG14," - ")</f>
        <v>0.23602267592326343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1.9940179461615153E-3</v>
      </c>
      <c r="C17" s="515">
        <f>IF(ISNUMBER(
   IF(D_I="SI",(Datos!J17-Datos!T17)/Datos!T17,(Datos!J17+Datos!AD17-(Datos!T17+Datos!AL17))/(Datos!T17+Datos!AL17))
     ),IF(D_I="SI",(Datos!J17-Datos!T17)/Datos!T17,(Datos!J17+Datos!AD17-(Datos!T17+Datos!AL17))/(Datos!T17+Datos!AL17))," - ")</f>
        <v>0.23384831460674158</v>
      </c>
      <c r="D17" s="515">
        <f>IF(ISNUMBER(
   IF(D_I="SI",(Datos!K17-Datos!U17)/Datos!U17,(Datos!K17+Datos!AE17-(Datos!U17+Datos!AM17))/(Datos!U17+Datos!AM17))
     ),IF(D_I="SI",(Datos!K17-Datos!U17)/Datos!U17,(Datos!K17+Datos!AE17-(Datos!U17+Datos!AM17))/(Datos!U17+Datos!AM17))," - ")</f>
        <v>0.3630239520958084</v>
      </c>
      <c r="E17" s="515">
        <f>IF(ISNUMBER(
   IF(D_I="SI",(Datos!L17-Datos!V17)/Datos!V17,(Datos!L17+Datos!AF17-(Datos!V17+Datos!AN17))/(Datos!V17+Datos!AN17))
     ),IF(D_I="SI",(Datos!L17-Datos!V17)/Datos!V17,(Datos!L17+Datos!AF17-(Datos!V17+Datos!AN17))/(Datos!V17+Datos!AN17))," - ")</f>
        <v>-8.0131208997188383E-2</v>
      </c>
      <c r="F17" s="515">
        <f>IF(ISNUMBER((Datos!M17-Datos!W17)/Datos!W17),(Datos!M17-Datos!W17)/Datos!W17," - ")</f>
        <v>4.0935672514619881E-2</v>
      </c>
      <c r="G17" s="516">
        <f>IF(ISNUMBER((Datos!N17-Datos!X17)/Datos!X17),(Datos!N17-Datos!X17)/Datos!X17," - ")</f>
        <v>0.44316877152698048</v>
      </c>
      <c r="H17" s="514">
        <f>IF(ISNUMBER(((NºAsuntos!G17/NºAsuntos!E17)-Datos!BD17)/Datos!BD17),((NºAsuntos!G17/NºAsuntos!E17)-Datos!BD17)/Datos!BD17," - ")</f>
        <v>0.10469328843735404</v>
      </c>
      <c r="I17" s="515">
        <f>IF(ISNUMBER(((NºAsuntos!I17/NºAsuntos!G17)-Datos!BE17)/Datos!BE17),((NºAsuntos!I17/NºAsuntos!G17)-Datos!BE17)/Datos!BE17," - ")</f>
        <v>-0.32512646634829417</v>
      </c>
      <c r="J17" s="521">
        <f>IF(ISNUMBER((('Resol  Asuntos'!D17/NºAsuntos!G17)-Datos!BF17)/Datos!BF17),(('Resol  Asuntos'!D17/NºAsuntos!G17)-Datos!BF17)/Datos!BF17," - ")</f>
        <v>-0.23630419633194277</v>
      </c>
      <c r="K17" s="522">
        <f>IF(ISNUMBER((((NºAsuntos!C17+NºAsuntos!E17)/NºAsuntos!G17)-Datos!BG17)/Datos!BG17),(((NºAsuntos!C17+NºAsuntos!E17)/NºAsuntos!G17)-Datos!BG17)/Datos!BG17," - ")</f>
        <v>-0.19425427031250253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0.37179487179487181</v>
      </c>
      <c r="C18" s="515">
        <f>IF(ISNUMBER(
   IF(D_I="SI",(Datos!J18-Datos!T18)/Datos!T18,(Datos!J18+Datos!AD18-(Datos!T18+Datos!AL18))/(Datos!T18+Datos!AL18))
     ),IF(D_I="SI",(Datos!J18-Datos!T18)/Datos!T18,(Datos!J18+Datos!AD18-(Datos!T18+Datos!AL18))/(Datos!T18+Datos!AL18))," - ")</f>
        <v>0.23255813953488372</v>
      </c>
      <c r="D18" s="515">
        <f>IF(ISNUMBER(
   IF(D_I="SI",(Datos!K18-Datos!U18)/Datos!U18,(Datos!K18+Datos!AE18-(Datos!U18+Datos!AM18))/(Datos!U18+Datos!AM18))
     ),IF(D_I="SI",(Datos!K18-Datos!U18)/Datos!U18,(Datos!K18+Datos!AE18-(Datos!U18+Datos!AM18))/(Datos!U18+Datos!AM18))," - ")</f>
        <v>0.71014492753623193</v>
      </c>
      <c r="E18" s="515">
        <f>IF(ISNUMBER(
   IF(D_I="SI",(Datos!L18-Datos!V18)/Datos!V18,(Datos!L18+Datos!AF18-(Datos!V18+Datos!AN18))/(Datos!V18+Datos!AN18))
     ),IF(D_I="SI",(Datos!L18-Datos!V18)/Datos!V18,(Datos!L18+Datos!AF18-(Datos!V18+Datos!AN18))/(Datos!V18+Datos!AN18))," - ")</f>
        <v>0.23107569721115537</v>
      </c>
      <c r="F18" s="515">
        <f>IF(ISNUMBER((Datos!M18-Datos!W18)/Datos!W18),(Datos!M18-Datos!W18)/Datos!W18," - ")</f>
        <v>0.1111111111111111</v>
      </c>
      <c r="G18" s="516">
        <f>IF(ISNUMBER((Datos!N18-Datos!X18)/Datos!X18),(Datos!N18-Datos!X18)/Datos!X18," - ")</f>
        <v>0.3</v>
      </c>
      <c r="H18" s="514">
        <f>IF(ISNUMBER(((NºAsuntos!G18/NºAsuntos!E18)-Datos!BD18)/Datos!BD18),((NºAsuntos!G18/NºAsuntos!E18)-Datos!BD18)/Datos!BD18," - ")</f>
        <v>0.38747607328411265</v>
      </c>
      <c r="I18" s="515">
        <f>IF(ISNUMBER(((NºAsuntos!I18/NºAsuntos!G18)-Datos!BE18)/Datos!BE18),((NºAsuntos!I18/NºAsuntos!G18)-Datos!BE18)/Datos!BE18," - ")</f>
        <v>-0.28013370247822272</v>
      </c>
      <c r="J18" s="521">
        <f>IF(ISNUMBER((('Resol  Asuntos'!D18/NºAsuntos!G18)-Datos!BF18)/Datos!BF18),(('Resol  Asuntos'!D18/NºAsuntos!G18)-Datos!BF18)/Datos!BF18," - ")</f>
        <v>-0.35028248587570621</v>
      </c>
      <c r="K18" s="522">
        <f>IF(ISNUMBER((((NºAsuntos!C18+NºAsuntos!E18)/NºAsuntos!G18)-Datos!BG18)/Datos!BG18),(((NºAsuntos!C18+NºAsuntos!E18)/NºAsuntos!G18)-Datos!BG18)/Datos!BG18," - ")</f>
        <v>-0.21972987288135593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4.0625000000000001E-2</v>
      </c>
      <c r="C23" s="1152">
        <f>IF(ISNUMBER(
   IF(Criterios!B14="SI",(Datos!J23-Datos!T23)/Datos!T23,(Datos!J23+Datos!AD23-(Datos!T23+Datos!AL23))/(Datos!T23+Datos!AL23))
     ),IF(Criterios!B14="SI",(Datos!J23-Datos!T23)/Datos!T23,(Datos!J23+Datos!AD23-(Datos!T23+Datos!AL23))/(Datos!T23+Datos!AL23))," - ")</f>
        <v>0.2337748344370861</v>
      </c>
      <c r="D23" s="1152">
        <f>IF(ISNUMBER(
   IF(Criterios!B14="SI",(Datos!K23-Datos!U23)/Datos!U23,(Datos!K23+Datos!AE23-(Datos!U23+Datos!AM23))/(Datos!U23+Datos!AM23))
     ),IF(Criterios!B14="SI",(Datos!K23-Datos!U23)/Datos!U23,(Datos!K23+Datos!AE23-(Datos!U23+Datos!AM23))/(Datos!U23+Datos!AM23))," - ")</f>
        <v>0.38007117437722421</v>
      </c>
      <c r="E23" s="1152">
        <f>IF(ISNUMBER(
   IF(Criterios!B14="SI",(Datos!L23-Datos!V23)/Datos!V23,(Datos!L23+Datos!AF23-(Datos!V23+Datos!AN23))/(Datos!V23+Datos!AN23))
     ),IF(Criterios!B14="SI",(Datos!L23-Datos!V23)/Datos!V23,(Datos!L23+Datos!AF23-(Datos!V23+Datos!AN23))/(Datos!V23+Datos!AN23))," - ")</f>
        <v>-4.7379454926624737E-2</v>
      </c>
      <c r="F23" s="1153">
        <f>IF(ISNUMBER((Datos!M23-Datos!W23)/Datos!W23),(Datos!M23-Datos!W23)/Datos!W23," - ")</f>
        <v>4.4444444444444446E-2</v>
      </c>
      <c r="G23" s="1154">
        <f>IF(ISNUMBER((Datos!N23-Datos!X23)/Datos!X23),(Datos!N23-Datos!X23)/Datos!X23," - ")</f>
        <v>0.43539630836047777</v>
      </c>
      <c r="H23" s="1154">
        <f>IF(ISNUMBER(((NºAsuntos!G23/NºAsuntos!E23)-Datos!BD23)/Datos!BD23),((NºAsuntos!G23/NºAsuntos!E23)-Datos!BD23)/Datos!BD23," - ")</f>
        <v>0.11857620682211943</v>
      </c>
      <c r="I23" s="1154">
        <f>IF(ISNUMBER(((NºAsuntos!I23/NºAsuntos!G23)-Datos!BE23)/Datos!BE23),((NºAsuntos!I23/NºAsuntos!G23)-Datos!BE23)/Datos!BE23," - ")</f>
        <v>-0.30973085826297464</v>
      </c>
      <c r="J23" s="1154">
        <f>IF(ISNUMBER((('Resol  Asuntos'!D23/NºAsuntos!G23)-Datos!BF23)/Datos!BF23),(('Resol  Asuntos'!D23/NºAsuntos!G23)-Datos!BF23)/Datos!BF23," - ")</f>
        <v>-0.24319523236490748</v>
      </c>
      <c r="K23" s="1154">
        <f>IF(ISNUMBER((((NºAsuntos!C23+NºAsuntos!E23)/NºAsuntos!G23)-Datos!BG23)/Datos!BG23),(((NºAsuntos!C23+NºAsuntos!E23)/NºAsuntos!G23)-Datos!BG23)/Datos!BG23," - ")</f>
        <v>-0.1896070139247035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2.4159257827599537E-2</v>
      </c>
      <c r="C31" s="1092">
        <f>IF(ISNUMBER(
   IF(J_V="SI",(Datos!J31-Datos!T31)/Datos!T31,(Datos!J31+Datos!Z31-(Datos!T31+Datos!AH31))/(Datos!T31+Datos!AH31))
     ),IF(J_V="SI",(Datos!J31-Datos!T31)/Datos!T31,(Datos!J31+Datos!Z31-(Datos!T31+Datos!AH31))/(Datos!T31+Datos!AH31))," - ")</f>
        <v>9.9933377748167893E-2</v>
      </c>
      <c r="D31" s="1092">
        <f>IF(ISNUMBER(
   IF(J_V="SI",(Datos!K31-Datos!U31)/Datos!U31,(Datos!K31+Datos!AA31-(Datos!U31+Datos!AI31))/(Datos!U31+Datos!AI31))
     ),IF(J_V="SI",(Datos!K31-Datos!U31)/Datos!U31,(Datos!K31+Datos!AA31-(Datos!U31+Datos!AI31))/(Datos!U31+Datos!AI31))," - ")</f>
        <v>7.937584803256445E-2</v>
      </c>
      <c r="E31" s="1092">
        <f>IF(ISNUMBER(
   IF(J_V="SI",(Datos!L31-Datos!V31)/Datos!V31,(Datos!L31+Datos!AB31-(Datos!V31+Datos!AJ31))/(Datos!V31+Datos!AJ31))
     ),IF(J_V="SI",(Datos!L31-Datos!V31)/Datos!V31,(Datos!L31+Datos!AB31-(Datos!V31+Datos!AJ31))/(Datos!V31+Datos!AJ31))," - ")</f>
        <v>3.2405642394205111E-2</v>
      </c>
      <c r="F31" s="1093">
        <f>IF(ISNUMBER((Datos!M31-Datos!W31)/Datos!W31),(Datos!M31-Datos!W31)/Datos!W31," - ")</f>
        <v>-0.43946188340807174</v>
      </c>
      <c r="G31" s="1094">
        <f>IF(ISNUMBER((Datos!N31-Datos!X31)/Datos!X31),(Datos!N31-Datos!X31)/Datos!X31," - ")</f>
        <v>0.50081168831168832</v>
      </c>
      <c r="H31" s="1095">
        <f>IF(ISNUMBER((Tasas!B31-Datos!BD31)/Datos!BD31),(Tasas!B31-Datos!BD31)/Datos!BD31," - ")</f>
        <v>-1.8689795338050087E-2</v>
      </c>
      <c r="I31" s="1096">
        <f>IF(ISNUMBER((Tasas!C31-Datos!BE31)/Datos!BE31),(Tasas!C31-Datos!BE31)/Datos!BE31," - ")</f>
        <v>-4.3516079893740879E-2</v>
      </c>
      <c r="J31" s="1097">
        <f>IF(ISNUMBER((Tasas!D31-Datos!BF31)/Datos!BF31),(Tasas!D31-Datos!BF31)/Datos!BF31," - ")</f>
        <v>-6.7946332931593453E-2</v>
      </c>
      <c r="K31" s="1097">
        <f>IF(ISNUMBER((Tasas!E31-Datos!BG31)/Datos!BG31),(Tasas!E31-Datos!BG31)/Datos!BG31," - ")</f>
        <v>-2.537988883162498E-2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BJ/MW2NAIXjtzeskl8RN6sHHqSIBjHY3/NMb86g2nMG+5c0uIkx6XUB+tS8jw5wN7kYbcI70HHEkOvwlJIuXQ==" saltValue="0jsXRY5RO3x37YFY+x4re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PALENCIA</v>
      </c>
    </row>
    <row r="4" spans="1:7" ht="11.25" customHeight="1" thickBot="1">
      <c r="B4" s="439" t="str">
        <f>Criterios!A11 &amp;"  "&amp;Criterios!B11</f>
        <v>Resumenes por Partidos Judiciales  PALENCIA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0.27777777777777779</v>
      </c>
      <c r="C10" s="498">
        <f>IF(ISNUMBER(NºAsuntos!I10/NºAsuntos!G10),NºAsuntos!I10/NºAsuntos!G10," - ")</f>
        <v>12</v>
      </c>
      <c r="D10" s="499">
        <f>IF(ISNUMBER('Resol  Asuntos'!D10/NºAsuntos!G10),'Resol  Asuntos'!D10/NºAsuntos!G10," - ")</f>
        <v>0.2</v>
      </c>
      <c r="E10" s="500">
        <f>IF(ISNUMBER((NºAsuntos!C10+NºAsuntos!E10)/NºAsuntos!G10),(NºAsuntos!C10+NºAsuntos!E10)/NºAsuntos!G10," - ")</f>
        <v>13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0.87121745249824067</v>
      </c>
      <c r="C12" s="498">
        <f>IF(ISNUMBER(NºAsuntos!I12/NºAsuntos!G12),NºAsuntos!I12/NºAsuntos!G12," - ")</f>
        <v>2.4911147011308561</v>
      </c>
      <c r="D12" s="499">
        <f>IF(ISNUMBER('Resol  Asuntos'!D12/NºAsuntos!G12),'Resol  Asuntos'!D12/NºAsuntos!G12," - ")</f>
        <v>0.25121163166397414</v>
      </c>
      <c r="E12" s="500">
        <f>IF(ISNUMBER((NºAsuntos!C12+NºAsuntos!E12)/NºAsuntos!G12),(NºAsuntos!C12+NºAsuntos!E12)/NºAsuntos!G12," - ")</f>
        <v>3.507269789983845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0.86379430159833215</v>
      </c>
      <c r="C14" s="1156">
        <f>IF(ISNUMBER(NºAsuntos!I14/NºAsuntos!G14),NºAsuntos!I14/NºAsuntos!G14," - ")</f>
        <v>2.5293644408688656</v>
      </c>
      <c r="D14" s="1157">
        <f>IF(ISNUMBER('Resol  Asuntos'!D14/NºAsuntos!G14),'Resol  Asuntos'!D14/NºAsuntos!G14," - ")</f>
        <v>0.25100563153660499</v>
      </c>
      <c r="E14" s="1158">
        <f>IF(ISNUMBER((NºAsuntos!C14+NºAsuntos!E14)/NºAsuntos!G14),(NºAsuntos!C14+NºAsuntos!E14)/NºAsuntos!G14," - ")</f>
        <v>3.5454545454545454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1.0364257256687535</v>
      </c>
      <c r="C17" s="498">
        <f>IF(ISNUMBER(NºAsuntos!I17/NºAsuntos!G17),NºAsuntos!I17/NºAsuntos!G17," - ")</f>
        <v>1.0779791323448655</v>
      </c>
      <c r="D17" s="499">
        <f>IF(ISNUMBER('Resol  Asuntos'!D17/NºAsuntos!G17),'Resol  Asuntos'!D17/NºAsuntos!G17," - ")</f>
        <v>9.7748489840746841E-2</v>
      </c>
      <c r="E17" s="500">
        <f>IF(ISNUMBER((NºAsuntos!C17+NºAsuntos!E17)/NºAsuntos!G17),(NºAsuntos!C17+NºAsuntos!E17)/NºAsuntos!G17," - ")</f>
        <v>2.0686436024162549</v>
      </c>
      <c r="G17" s="523"/>
    </row>
    <row r="18" spans="1:7">
      <c r="A18" s="450" t="str">
        <f>Datos!A18</f>
        <v>Jdos. Violencia contra la mujer</v>
      </c>
      <c r="B18" s="497">
        <f>IF(ISNUMBER(NºAsuntos!G18/NºAsuntos!E18),NºAsuntos!G18/NºAsuntos!E18," - ")</f>
        <v>1.1132075471698113</v>
      </c>
      <c r="C18" s="498">
        <f>IF(ISNUMBER(NºAsuntos!I18/NºAsuntos!G18),NºAsuntos!I18/NºAsuntos!G18," - ")</f>
        <v>2.6186440677966103</v>
      </c>
      <c r="D18" s="499">
        <f>IF(ISNUMBER('Resol  Asuntos'!D18/NºAsuntos!G18),'Resol  Asuntos'!D18/NºAsuntos!G18," - ")</f>
        <v>8.4745762711864403E-2</v>
      </c>
      <c r="E18" s="500">
        <f>IF(ISNUMBER((NºAsuntos!C18+NºAsuntos!E18)/NºAsuntos!G18),(NºAsuntos!C18+NºAsuntos!E18)/NºAsuntos!G18," - ")</f>
        <v>3.6186440677966103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1.0407944176060118</v>
      </c>
      <c r="C23" s="1156">
        <f>IF(ISNUMBER(NºAsuntos!I23/NºAsuntos!G23),NºAsuntos!I23/NºAsuntos!G23," - ")</f>
        <v>1.1717380092831355</v>
      </c>
      <c r="D23" s="1159">
        <f>IF(ISNUMBER('Resol  Asuntos'!D23/NºAsuntos!G23),'Resol  Asuntos'!D23/NºAsuntos!G23," - ")</f>
        <v>9.6957194430118618E-2</v>
      </c>
      <c r="E23" s="1158">
        <f>IF(ISNUMBER((NºAsuntos!C23+NºAsuntos!E23)/NºAsuntos!G23),(NºAsuntos!C23+NºAsuntos!E23)/NºAsuntos!G23," - ")</f>
        <v>2.1629706034038163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0.96365838885523925</v>
      </c>
      <c r="C31" s="1099">
        <f>IF(ISNUMBER(NºAsuntos!I31/NºAsuntos!G31),NºAsuntos!I31/NºAsuntos!G31," - ")</f>
        <v>1.7020741671904462</v>
      </c>
      <c r="D31" s="1100">
        <f>IF(ISNUMBER('Resol  Asuntos'!D31/NºAsuntos!G31),'Resol  Asuntos'!D31/NºAsuntos!G31," - ")</f>
        <v>0.15713387806411061</v>
      </c>
      <c r="E31" s="1101">
        <f>IF(ISNUMBER((NºAsuntos!C31+NºAsuntos!E31)/NºAsuntos!G31),(NºAsuntos!C31+NºAsuntos!E31)/NºAsuntos!G31," - ")</f>
        <v>2.7030169704588309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EDQE6mnslxhplvxa3sxlsec5LclrjaZfYDO7UQFQhVhQUAeYTY7qr0nrXa1PNP/6ZI9Qs6Y9Ox9zUE0koENwA==" saltValue="ZubCM/lIFxtwFurjWNT6U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PALENCIA</v>
      </c>
      <c r="N2" s="368" t="str">
        <f>Criterios!A11 &amp;"  "&amp;Criterios!B11</f>
        <v>Resumenes por Partidos Judiciales  PALENCIA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47</v>
      </c>
      <c r="G10" s="373">
        <f>IF(ISNUMBER(Datos!I10),Datos!I10," - ")</f>
        <v>47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60</v>
      </c>
      <c r="AB10" s="374">
        <f>IF(ISNUMBER(Datos!R10),Datos!R10," - ")</f>
        <v>0</v>
      </c>
      <c r="AC10" s="374">
        <f t="shared" ref="AC10:AC13" si="1">IF(ISNUMBER(AA10+AB10),AA10+AB10," - ")</f>
        <v>60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0.27777777777777779</v>
      </c>
      <c r="AM10" s="284">
        <f>IF(ISNUMBER(((NºAsuntos!I10/NºAsuntos!G10)*11)/factor_trimestre),((NºAsuntos!I10/NºAsuntos!G10)*11)/factor_trimestre," - ")</f>
        <v>36</v>
      </c>
      <c r="AN10" s="267">
        <f>IF(ISNUMBER('Resol  Asuntos'!D10/NºAsuntos!G10),'Resol  Asuntos'!D10/NºAsuntos!G10," - ")</f>
        <v>0.2</v>
      </c>
      <c r="AO10" s="268">
        <f>IF(ISNUMBER((NºAsuntos!C10+NºAsuntos!E10)/NºAsuntos!G10),(NºAsuntos!C10+NºAsuntos!E10)/NºAsuntos!G10," - ")</f>
        <v>13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361</v>
      </c>
      <c r="Y12" s="374">
        <f t="shared" si="0"/>
        <v>361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5188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311</v>
      </c>
      <c r="AJ12" s="243" t="str">
        <f>IF(ISNUMBER(Datos!BW12),Datos!BW12," - ")</f>
        <v xml:space="preserve"> - </v>
      </c>
      <c r="AK12" s="242" t="str">
        <f>IF(ISNUMBER(Datos!BX12),Datos!BX12," - ")</f>
        <v xml:space="preserve"> - </v>
      </c>
      <c r="AL12" s="266">
        <f>IF(ISNUMBER(NºAsuntos!G12/NºAsuntos!E12),NºAsuntos!G12/NºAsuntos!E12," - ")</f>
        <v>0.87121745249824067</v>
      </c>
      <c r="AM12" s="284">
        <f>IF(ISNUMBER(((NºAsuntos!I12/NºAsuntos!G12)*11)/factor_trimestre),((NºAsuntos!I12/NºAsuntos!G12)*11)/factor_trimestre," - ")</f>
        <v>7.4733441033925692</v>
      </c>
      <c r="AN12" s="267">
        <f>IF(ISNUMBER('Resol  Asuntos'!D12/NºAsuntos!G12),'Resol  Asuntos'!D12/NºAsuntos!G12," - ")</f>
        <v>0.25121163166397414</v>
      </c>
      <c r="AO12" s="268">
        <f>IF(ISNUMBER((NºAsuntos!C12+NºAsuntos!E12)/NºAsuntos!G12),(NºAsuntos!C12+NºAsuntos!E12)/NºAsuntos!G12," - ")</f>
        <v>3.507269789983845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47</v>
      </c>
      <c r="G14" s="1163">
        <f t="shared" si="5"/>
        <v>47</v>
      </c>
      <c r="H14" s="1162">
        <f t="shared" si="5"/>
        <v>0</v>
      </c>
      <c r="I14" s="1164">
        <f t="shared" si="5"/>
        <v>0</v>
      </c>
      <c r="J14" s="1164">
        <f t="shared" si="5"/>
        <v>0</v>
      </c>
      <c r="K14" s="1164">
        <f t="shared" si="5"/>
        <v>0</v>
      </c>
      <c r="L14" s="1164">
        <f t="shared" si="5"/>
        <v>292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361</v>
      </c>
      <c r="Y14" s="1165">
        <f t="shared" si="6"/>
        <v>366</v>
      </c>
      <c r="Z14" s="1165">
        <f t="shared" si="6"/>
        <v>0</v>
      </c>
      <c r="AA14" s="1165">
        <f t="shared" si="6"/>
        <v>60</v>
      </c>
      <c r="AB14" s="1165">
        <f t="shared" si="6"/>
        <v>5188</v>
      </c>
      <c r="AC14" s="1165">
        <f t="shared" si="6"/>
        <v>60</v>
      </c>
      <c r="AD14" s="1165">
        <f t="shared" si="6"/>
        <v>0</v>
      </c>
      <c r="AE14" s="1169">
        <f t="shared" si="6"/>
        <v>0</v>
      </c>
      <c r="AF14" s="1162">
        <f t="shared" si="6"/>
        <v>0</v>
      </c>
      <c r="AG14" s="1170">
        <f t="shared" si="6"/>
        <v>0</v>
      </c>
      <c r="AH14" s="1167">
        <f t="shared" si="6"/>
        <v>0</v>
      </c>
      <c r="AI14" s="1162">
        <f t="shared" si="6"/>
        <v>312</v>
      </c>
      <c r="AJ14" s="1164">
        <f t="shared" si="6"/>
        <v>0</v>
      </c>
      <c r="AK14" s="1167">
        <f>SUBTOTAL(9,AK9:AK13)</f>
        <v>0</v>
      </c>
      <c r="AL14" s="1171">
        <f>IF(ISNUMBER(NºAsuntos!G14/NºAsuntos!E14),NºAsuntos!G14/NºAsuntos!E14," - ")</f>
        <v>0.86379430159833215</v>
      </c>
      <c r="AM14" s="1171">
        <f>IF(ISNUMBER(((NºAsuntos!I14/NºAsuntos!G14)*11)/factor_trimestre),((NºAsuntos!I14/NºAsuntos!G14)*11)/factor_trimestre," - ")</f>
        <v>7.5880933226065972</v>
      </c>
      <c r="AN14" s="1172">
        <f>IF(ISNUMBER('Resol  Asuntos'!D14/NºAsuntos!G14),'Resol  Asuntos'!D14/NºAsuntos!G14," - ")</f>
        <v>0.25100563153660499</v>
      </c>
      <c r="AO14" s="1173">
        <f>IF(ISNUMBER((NºAsuntos!C14+NºAsuntos!E14)/NºAsuntos!G14),(NºAsuntos!C14+NºAsuntos!E14)/NºAsuntos!G14," - ")</f>
        <v>3.5454545454545454</v>
      </c>
      <c r="AP14" s="1174" t="str">
        <f t="shared" si="2"/>
        <v xml:space="preserve"> - </v>
      </c>
      <c r="AQ14" s="1174">
        <f>IF(ISNUMBER((H14-W14+K14)/(F14)),(H14-W14+K14)/(F14)," - ")</f>
        <v>-0.10638297872340426</v>
      </c>
      <c r="AR14" s="1175">
        <f>IF(ISNUMBER((Datos!P14-Datos!Q14)/(Datos!R14-Datos!P14+Datos!Q14)),(Datos!P14-Datos!Q14)/(Datos!R14-Datos!P14+Datos!Q14)," - ")</f>
        <v>-1.3125356667300742E-2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2027</v>
      </c>
      <c r="G17" s="373">
        <f>IF(ISNUMBER(IF(D_I="SI",Datos!I17,Datos!I17+Datos!AC17)),IF(D_I="SI",Datos!I17,Datos!I17+Datos!AC17)," - ")</f>
        <v>2010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1821</v>
      </c>
      <c r="X17" s="240">
        <f>IF(ISNUMBER(Datos!Q17),Datos!Q17," - ")</f>
        <v>43</v>
      </c>
      <c r="Y17" s="374">
        <f t="shared" ref="Y17:Y22" si="9">SUM(W17:X17)</f>
        <v>1864</v>
      </c>
      <c r="Z17" s="375" t="str">
        <f>IF(ISNUMBER(Datos!CC17),Datos!CC17," - ")</f>
        <v xml:space="preserve"> - </v>
      </c>
      <c r="AA17" s="372">
        <f>IF(ISNUMBER(IF(D_I="SI",Datos!L17,Datos!L17+Datos!AF17)),IF(D_I="SI",Datos!L17,Datos!L17+Datos!AF17)," - ")</f>
        <v>1963</v>
      </c>
      <c r="AB17" s="374">
        <f>IF(ISNUMBER(Datos!R17),Datos!R17," - ")</f>
        <v>217</v>
      </c>
      <c r="AC17" s="374">
        <f t="shared" si="8"/>
        <v>2180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178</v>
      </c>
      <c r="AJ17" s="245" t="str">
        <f>IF(ISNUMBER(Datos!BW17),Datos!BW17," - ")</f>
        <v xml:space="preserve"> - </v>
      </c>
      <c r="AK17" s="246" t="str">
        <f>IF(ISNUMBER(Datos!BX17),Datos!BX17," - ")</f>
        <v xml:space="preserve"> - </v>
      </c>
      <c r="AL17" s="266">
        <f>IF(ISNUMBER(NºAsuntos!G17/NºAsuntos!E17),NºAsuntos!G17/NºAsuntos!E17," - ")</f>
        <v>1.0364257256687535</v>
      </c>
      <c r="AM17" s="284">
        <f>IF(ISNUMBER(((NºAsuntos!I17/NºAsuntos!G17)*11)/factor_trimestre),((NºAsuntos!I17/NºAsuntos!G17)*11)/factor_trimestre," - ")</f>
        <v>3.2339373970345968</v>
      </c>
      <c r="AN17" s="267">
        <f>IF(ISNUMBER('Resol  Asuntos'!D17/NºAsuntos!G17),'Resol  Asuntos'!D17/NºAsuntos!G17," - ")</f>
        <v>9.7748489840746841E-2</v>
      </c>
      <c r="AO17" s="268">
        <f>IF(ISNUMBER((NºAsuntos!C17+NºAsuntos!E17)/NºAsuntos!G17),(NºAsuntos!C17+NºAsuntos!E17)/NºAsuntos!G17," - ")</f>
        <v>2.0686436024162549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118</v>
      </c>
      <c r="X18" s="240">
        <f>IF(ISNUMBER(Datos!Q18),Datos!Q18," - ")</f>
        <v>0</v>
      </c>
      <c r="Y18" s="374">
        <f t="shared" si="9"/>
        <v>118</v>
      </c>
      <c r="Z18" s="375" t="str">
        <f>IF(ISNUMBER(Datos!CC18),Datos!CC18," - ")</f>
        <v xml:space="preserve"> - </v>
      </c>
      <c r="AA18" s="372">
        <f>IF(ISNUMBER(Datos!L18),Datos!L18,"-")</f>
        <v>309</v>
      </c>
      <c r="AB18" s="374">
        <f>IF(ISNUMBER(Datos!R18),Datos!R18," - ")</f>
        <v>5</v>
      </c>
      <c r="AC18" s="374">
        <f t="shared" si="8"/>
        <v>314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1.1132075471698113</v>
      </c>
      <c r="AM18" s="284">
        <f>IF(ISNUMBER(((NºAsuntos!I18/NºAsuntos!G18)*11)/factor_trimestre),((NºAsuntos!I18/NºAsuntos!G18)*11)/factor_trimestre," - ")</f>
        <v>7.8559322033898313</v>
      </c>
      <c r="AN18" s="267">
        <f>IF(ISNUMBER('Resol  Asuntos'!D18/NºAsuntos!G18),'Resol  Asuntos'!D18/NºAsuntos!G18," - ")</f>
        <v>8.4745762711864403E-2</v>
      </c>
      <c r="AO18" s="268">
        <f>IF(ISNUMBER((NºAsuntos!C18+NºAsuntos!E18)/NºAsuntos!G18),(NºAsuntos!C18+NºAsuntos!E18)/NºAsuntos!G18," - ")</f>
        <v>3.6186440677966103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2027</v>
      </c>
      <c r="G23" s="1163">
        <f>SUBTOTAL(9,G16:G22)</f>
        <v>2331</v>
      </c>
      <c r="H23" s="1162">
        <f t="shared" ref="H23:O23" si="13">SUBTOTAL(9,H15:H22)</f>
        <v>0</v>
      </c>
      <c r="I23" s="1164">
        <f t="shared" si="13"/>
        <v>0</v>
      </c>
      <c r="J23" s="1164">
        <f t="shared" si="13"/>
        <v>0</v>
      </c>
      <c r="K23" s="1164">
        <f t="shared" si="13"/>
        <v>0</v>
      </c>
      <c r="L23" s="1164">
        <f t="shared" si="13"/>
        <v>51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1939</v>
      </c>
      <c r="X23" s="1164">
        <f t="shared" si="14"/>
        <v>43</v>
      </c>
      <c r="Y23" s="1165">
        <f t="shared" si="14"/>
        <v>1982</v>
      </c>
      <c r="Z23" s="1165">
        <f t="shared" si="14"/>
        <v>0</v>
      </c>
      <c r="AA23" s="1165">
        <f t="shared" si="14"/>
        <v>2272</v>
      </c>
      <c r="AB23" s="1165">
        <f t="shared" si="14"/>
        <v>222</v>
      </c>
      <c r="AC23" s="1165">
        <f t="shared" si="14"/>
        <v>2494</v>
      </c>
      <c r="AD23" s="1165">
        <f t="shared" si="14"/>
        <v>0</v>
      </c>
      <c r="AE23" s="1169">
        <f t="shared" si="14"/>
        <v>0</v>
      </c>
      <c r="AF23" s="1162">
        <f t="shared" si="14"/>
        <v>0</v>
      </c>
      <c r="AG23" s="1170">
        <f t="shared" si="14"/>
        <v>0</v>
      </c>
      <c r="AH23" s="1167">
        <f t="shared" si="14"/>
        <v>0</v>
      </c>
      <c r="AI23" s="1162">
        <f t="shared" si="14"/>
        <v>188</v>
      </c>
      <c r="AJ23" s="1164">
        <f t="shared" si="14"/>
        <v>0</v>
      </c>
      <c r="AK23" s="1167">
        <f t="shared" si="14"/>
        <v>0</v>
      </c>
      <c r="AL23" s="1171">
        <f>IF(ISNUMBER(NºAsuntos!G23/NºAsuntos!E23),NºAsuntos!G23/NºAsuntos!E23," - ")</f>
        <v>1.0407944176060118</v>
      </c>
      <c r="AM23" s="1171">
        <f>IF(ISNUMBER(((NºAsuntos!I23/NºAsuntos!G23)*11)/factor_trimestre),((NºAsuntos!I23/NºAsuntos!G23)*11)/factor_trimestre," - ")</f>
        <v>3.5152140278494066</v>
      </c>
      <c r="AN23" s="1172">
        <f>IF(ISNUMBER('Resol  Asuntos'!D23/NºAsuntos!G23),'Resol  Asuntos'!D23/NºAsuntos!G23," - ")</f>
        <v>9.6957194430118618E-2</v>
      </c>
      <c r="AO23" s="1173">
        <f>IF(ISNUMBER((NºAsuntos!C23+NºAsuntos!E23)/NºAsuntos!G23),(NºAsuntos!C23+NºAsuntos!E23)/NºAsuntos!G23," - ")</f>
        <v>2.1629706034038163</v>
      </c>
      <c r="AP23" s="1174" t="str">
        <f t="shared" si="2"/>
        <v xml:space="preserve"> - </v>
      </c>
      <c r="AQ23" s="1174">
        <f>IF(ISNUMBER((H23-W23+K23)/(F23)),(H23-W23+K23)/(F23)," - ")</f>
        <v>-0.95658608781450416</v>
      </c>
      <c r="AR23" s="1175">
        <f>IF(ISNUMBER((Datos!P23-Datos!Q23)/(Datos!R23-Datos!P23+Datos!Q23)),(Datos!P23-Datos!Q23)/(Datos!R23-Datos!P23+Datos!Q23)," - ")</f>
        <v>3.7383177570093455E-2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2074</v>
      </c>
      <c r="G31" s="1118">
        <f t="shared" si="20"/>
        <v>2378</v>
      </c>
      <c r="H31" s="1117">
        <f t="shared" si="20"/>
        <v>0</v>
      </c>
      <c r="I31" s="1119">
        <f t="shared" si="20"/>
        <v>0</v>
      </c>
      <c r="J31" s="1119">
        <f t="shared" si="20"/>
        <v>0</v>
      </c>
      <c r="K31" s="1180">
        <f t="shared" si="20"/>
        <v>0</v>
      </c>
      <c r="L31" s="1119">
        <f t="shared" si="20"/>
        <v>343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1944</v>
      </c>
      <c r="X31" s="1118">
        <f t="shared" si="21"/>
        <v>404</v>
      </c>
      <c r="Y31" s="1125">
        <f t="shared" si="21"/>
        <v>2348</v>
      </c>
      <c r="Z31" s="1125">
        <f t="shared" si="21"/>
        <v>0</v>
      </c>
      <c r="AA31" s="1125">
        <f t="shared" si="21"/>
        <v>2332</v>
      </c>
      <c r="AB31" s="1125">
        <f t="shared" si="21"/>
        <v>5410</v>
      </c>
      <c r="AC31" s="1125">
        <f t="shared" si="21"/>
        <v>2554</v>
      </c>
      <c r="AD31" s="1125">
        <f t="shared" si="21"/>
        <v>0</v>
      </c>
      <c r="AE31" s="1127">
        <f t="shared" si="21"/>
        <v>0</v>
      </c>
      <c r="AF31" s="1128">
        <f t="shared" si="21"/>
        <v>0</v>
      </c>
      <c r="AG31" s="1129">
        <f t="shared" si="21"/>
        <v>0</v>
      </c>
      <c r="AH31" s="1127">
        <f t="shared" si="21"/>
        <v>0</v>
      </c>
      <c r="AI31" s="1117">
        <f t="shared" si="21"/>
        <v>500</v>
      </c>
      <c r="AJ31" s="1117">
        <f t="shared" si="21"/>
        <v>0</v>
      </c>
      <c r="AK31" s="1127">
        <f t="shared" si="21"/>
        <v>0</v>
      </c>
      <c r="AL31" s="1183">
        <f>IF(ISNUMBER(NºAsuntos!G31/NºAsuntos!E31),NºAsuntos!G31/NºAsuntos!E31," - ")</f>
        <v>0.96365838885523925</v>
      </c>
      <c r="AM31" s="1184">
        <f>IF(ISNUMBER(((NºAsuntos!I31/NºAsuntos!G31)*11)/factor_trimestre),((NºAsuntos!I31/NºAsuntos!G31)*11)/factor_trimestre," - ")</f>
        <v>5.1062225015713389</v>
      </c>
      <c r="AN31" s="1184">
        <f>IF(ISNUMBER('Resol  Asuntos'!D31/NºAsuntos!G31),'Resol  Asuntos'!D31/NºAsuntos!G31," - ")</f>
        <v>0.15713387806411061</v>
      </c>
      <c r="AO31" s="1185">
        <f>IF(ISNUMBER((NºAsuntos!C31+NºAsuntos!E31)/NºAsuntos!G31),(NºAsuntos!C31+NºAsuntos!E31)/NºAsuntos!G31," - ")</f>
        <v>2.7030169704588309</v>
      </c>
      <c r="AP31" s="1186" t="str">
        <f t="shared" si="2"/>
        <v xml:space="preserve"> - </v>
      </c>
      <c r="AQ31" s="1187">
        <f>IF(OR(ISNUMBER(FIND("01",Criterios!A8,1)),ISNUMBER(FIND("02",Criterios!A8,1)),ISNUMBER(FIND("03",Criterios!A8,1)),ISNUMBER(FIND("04",Criterios!A8,1))),(I31-W31+K31)/(F31-K31),(H31-W31+K31)/(F31-K31))</f>
        <v>-0.93731918997107044</v>
      </c>
      <c r="AR31" s="1188">
        <f>IF(ISNUMBER((Datos!P31-Datos!Q31)/(Datos!R31-Datos!P31+Datos!Q31)),(Datos!P31-Datos!Q31)/(Datos!R31-Datos!P31+Datos!Q31)," - ")</f>
        <v>-1.1149698409797112E-2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679.42857142857144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1034.8164410496515</v>
      </c>
      <c r="G33" s="277">
        <f>IF(ISNUMBER(STDEV(G8:G30)),STDEV(G8:G30),"-")</f>
        <v>1028.7336644539987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906.47942744496549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139.48579036692487</v>
      </c>
      <c r="AJ33" s="276">
        <f t="shared" si="25"/>
        <v>0</v>
      </c>
      <c r="AK33" s="278">
        <f t="shared" si="25"/>
        <v>0</v>
      </c>
      <c r="AL33" s="273">
        <f t="shared" si="25"/>
        <v>0.30552851782533164</v>
      </c>
      <c r="AM33" s="274">
        <f t="shared" si="25"/>
        <v>12.452138659675065</v>
      </c>
      <c r="AN33" s="274">
        <f t="shared" si="25"/>
        <v>7.9543921581804386E-2</v>
      </c>
      <c r="AO33" s="275">
        <f t="shared" si="25"/>
        <v>4.151162792306569</v>
      </c>
      <c r="AP33" s="317" t="str">
        <f t="shared" si="25"/>
        <v>-</v>
      </c>
      <c r="AQ33" s="318">
        <f t="shared" si="25"/>
        <v>0.60118438382420281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r0WceaXPQcum3H8P0kzdZNoE+Lv55cu0qN0hUf8U6oe7w7RwjazP1eBPwEvNZRyK/KBIzW5YHoZyDoXG0KZvA==" saltValue="aGlq8WiYTw5k/jb21+pq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PALENCIA</v>
      </c>
      <c r="E3" s="287"/>
    </row>
    <row r="4" spans="2:20" ht="17.25" customHeight="1" thickBot="1">
      <c r="D4" s="286" t="str">
        <f>Criterios!A11 &amp;"  "&amp;Criterios!B11</f>
        <v>Resumenes por Partidos Judiciales  PALENCIA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2.1739130434782608E-2</v>
      </c>
      <c r="E10" s="393">
        <f>IF(ISNUMBER((Datos!J10-Datos!T10)/Datos!T10),(Datos!J10-Datos!T10)/Datos!T10," - ")</f>
        <v>-5.2631578947368418E-2</v>
      </c>
      <c r="F10" s="393">
        <f>IF(ISNUMBER((Datos!K10-Datos!U10)/Datos!U10),(Datos!K10-Datos!U10)/Datos!U10," - ")</f>
        <v>-0.375</v>
      </c>
      <c r="G10" s="394">
        <f>IF(ISNUMBER((Datos!L10-Datos!V10)/Datos!V10),(Datos!L10-Datos!V10)/Datos!V10," - ")</f>
        <v>5.2631578947368418E-2</v>
      </c>
      <c r="H10" s="244">
        <f>IF(ISNUMBER((Datos!M10-Datos!W10)/Datos!W10),(Datos!M10-Datos!W10)/Datos!W10," - ")</f>
        <v>-0.8571428571428571</v>
      </c>
      <c r="I10" s="395">
        <f>IF(ISNUMBER((Tasas!C10-Datos!BE10)/Datos!BE10),(Tasas!C10-Datos!BE10)/Datos!BE10," - ")</f>
        <v>0.68421052631578949</v>
      </c>
      <c r="J10" s="394">
        <f>IF(ISNUMBER((Tasas!D10-Datos!BF10)/Datos!BF10),(Tasas!D10-Datos!BF10)/Datos!BF10," - ")</f>
        <v>-0.77142857142857146</v>
      </c>
      <c r="K10" s="396">
        <f>IF(ISNUMBER((Tasas!E10-Datos!BG10)/Datos!BG10),(Tasas!E10-Datos!BG10)/Datos!BG10," - ")</f>
        <v>0.6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-0.55886524822695038</v>
      </c>
      <c r="I12" s="395">
        <f>IF(ISNUMBER((Tasas!C12-Datos!BE12)/Datos!BE12),(Tasas!C12-Datos!BE12)/Datos!BE12," - ")</f>
        <v>0.36371650008411693</v>
      </c>
      <c r="J12" s="394">
        <f>IF(ISNUMBER((Tasas!D12-Datos!BF12)/Datos!BF12),(Tasas!D12-Datos!BF12)/Datos!BF12," - ")</f>
        <v>0.2439027567877429</v>
      </c>
      <c r="K12" s="396">
        <f>IF(ISNUMBER((Tasas!E12-Datos!BG12)/Datos!BG12),(Tasas!E12-Datos!BG12)/Datos!BG12," - ")</f>
        <v>0.23450106113854657</v>
      </c>
      <c r="M12" t="e">
        <f>IF(Monitorios="SI",Datos!CE12,0)</f>
        <v>#REF!</v>
      </c>
      <c r="N12" t="e">
        <f>IF(Monitorios="SI",Datos!CF12,0)</f>
        <v>#REF!</v>
      </c>
      <c r="O12" t="e">
        <f>IF(Monitorios="SI",Datos!CG12,0)</f>
        <v>#REF!</v>
      </c>
      <c r="P12" t="e">
        <f>IF(Monitorios="SI",Datos!CH12,0)</f>
        <v>#REF!</v>
      </c>
      <c r="Q12">
        <f>IF(J_V="SI",0,Datos!AG12)</f>
        <v>184</v>
      </c>
      <c r="R12">
        <f>IF(J_V="SI",0,Datos!AH12)</f>
        <v>229</v>
      </c>
      <c r="S12">
        <f>IF(J_V="SI",0,Datos!AI12)</f>
        <v>159</v>
      </c>
      <c r="T12">
        <f>IF(J_V="SI",0,Datos!AJ12)</f>
        <v>254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-0.5617977528089888</v>
      </c>
      <c r="I14" s="402">
        <f>IF(ISNUMBER((Tasas!C14-Datos!BE14)/Datos!BE14),(Tasas!C14-Datos!BE14)/Datos!BE14," - ")</f>
        <v>0.36414167502994038</v>
      </c>
      <c r="J14" s="400">
        <f>IF(ISNUMBER((Tasas!D14-Datos!BF14)/Datos!BF14),(Tasas!D14-Datos!BF14)/Datos!BF14," - ")</f>
        <v>0.22177189104410572</v>
      </c>
      <c r="K14" s="403">
        <f>IF(ISNUMBER((Tasas!E14-Datos!BG14)/Datos!BG14),(Tasas!E14-Datos!BG14)/Datos!BG14," - ")</f>
        <v>0.23602267592326343</v>
      </c>
      <c r="M14" t="e">
        <f>IF(Monitorios="SI",Datos!CE14,0)</f>
        <v>#REF!</v>
      </c>
      <c r="N14" t="e">
        <f>IF(Monitorios="SI",Datos!CF14,0)</f>
        <v>#REF!</v>
      </c>
      <c r="O14" t="e">
        <f>IF(Monitorios="SI",Datos!CG14,0)</f>
        <v>#REF!</v>
      </c>
      <c r="P14" t="e">
        <f>IF(Monitorios="SI",Datos!CH14,0)</f>
        <v>#REF!</v>
      </c>
      <c r="Q14">
        <f>IF(J_V="SI",0,Datos!AG14)</f>
        <v>184</v>
      </c>
      <c r="R14">
        <f>IF(J_V="SI",0,Datos!AH14)</f>
        <v>229</v>
      </c>
      <c r="S14">
        <f>IF(J_V="SI",0,Datos!AI14)</f>
        <v>159</v>
      </c>
      <c r="T14">
        <f>IF(J_V="SI",0,Datos!AJ14)</f>
        <v>254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1.9940179461615153E-3</v>
      </c>
      <c r="E17" s="393">
        <f>IF(ISNUMBER(
   IF(D_I="SI",(Datos!J17-Datos!T17)/Datos!T17,(Datos!J17+Datos!AD17-(Datos!T17+Datos!AL17))/(Datos!T17+Datos!AL17))
     ),IF(D_I="SI",(Datos!J17-Datos!T17)/Datos!T17,(Datos!J17+Datos!AD17-(Datos!T17+Datos!AL17))/(Datos!T17+Datos!AL17))," - ")</f>
        <v>0.23384831460674158</v>
      </c>
      <c r="F17" s="393">
        <f>IF(ISNUMBER(
   IF(D_I="SI",(Datos!K17-Datos!U17)/Datos!U17,(Datos!K17+Datos!AE17-(Datos!U17+Datos!AM17))/(Datos!U17+Datos!AM17))
     ),IF(D_I="SI",(Datos!K17-Datos!U17)/Datos!U17,(Datos!K17+Datos!AE17-(Datos!U17+Datos!AM17))/(Datos!U17+Datos!AM17))," - ")</f>
        <v>0.3630239520958084</v>
      </c>
      <c r="G17" s="394">
        <f>IF(ISNUMBER(
   IF(D_I="SI",(Datos!L17-Datos!V17)/Datos!V17,(Datos!L17+Datos!AF17-(Datos!V17+Datos!AN17))/(Datos!V17+Datos!AN17))
     ),IF(D_I="SI",(Datos!L17-Datos!V17)/Datos!V17,(Datos!L17+Datos!AF17-(Datos!V17+Datos!AN17))/(Datos!V17+Datos!AN17))," - ")</f>
        <v>-8.0131208997188383E-2</v>
      </c>
      <c r="H17" s="244">
        <f>IF(ISNUMBER((Datos!M17-Datos!W17)/Datos!W17),(Datos!M17-Datos!W17)/Datos!W17," - ")</f>
        <v>4.0935672514619881E-2</v>
      </c>
      <c r="I17" s="395">
        <f>IF(ISNUMBER((Tasas!C17-Datos!BE17)/Datos!BE17),(Tasas!C17-Datos!BE17)/Datos!BE17," - ")</f>
        <v>-0.32512646634829417</v>
      </c>
      <c r="J17" s="394">
        <f>IF(ISNUMBER((Tasas!D17-Datos!BF17)/Datos!BF17),(Tasas!D17-Datos!BF17)/Datos!BF17," - ")</f>
        <v>-0.23630419633194277</v>
      </c>
      <c r="K17" s="396">
        <f>IF(ISNUMBER((Tasas!E17-Datos!BG17)/Datos!BG17),(Tasas!E17-Datos!BG17)/Datos!BG17," - ")</f>
        <v>-0.19425427031250253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0.37179487179487181</v>
      </c>
      <c r="E18" s="393">
        <f>IF(ISNUMBER(
   IF(D_I="SI",(Datos!J18-Datos!T18)/Datos!T18,(Datos!J18+Datos!AD18-(Datos!T18+Datos!AL18))/(Datos!T18+Datos!AL18))
     ),IF(D_I="SI",(Datos!J18-Datos!T18)/Datos!T18,(Datos!J18+Datos!AD18-(Datos!T18+Datos!AL18))/(Datos!T18+Datos!AL18))," - ")</f>
        <v>0.23255813953488372</v>
      </c>
      <c r="F18" s="393">
        <f>IF(ISNUMBER(
   IF(D_I="SI",(Datos!K18-Datos!U18)/Datos!U18,(Datos!K18+Datos!AE18-(Datos!U18+Datos!AM18))/(Datos!U18+Datos!AM18))
     ),IF(D_I="SI",(Datos!K18-Datos!U18)/Datos!U18,(Datos!K18+Datos!AE18-(Datos!U18+Datos!AM18))/(Datos!U18+Datos!AM18))," - ")</f>
        <v>0.71014492753623193</v>
      </c>
      <c r="G18" s="394">
        <f>IF(ISNUMBER(
   IF(D_I="SI",(Datos!L18-Datos!V18)/Datos!V18,(Datos!L18+Datos!AF18-(Datos!V18+Datos!AN18))/(Datos!V18+Datos!AN18))
     ),IF(D_I="SI",(Datos!L18-Datos!V18)/Datos!V18,(Datos!L18+Datos!AF18-(Datos!V18+Datos!AN18))/(Datos!V18+Datos!AN18))," - ")</f>
        <v>0.23107569721115537</v>
      </c>
      <c r="H18" s="244">
        <f>IF(ISNUMBER((Datos!M18-Datos!W18)/Datos!W18),(Datos!M18-Datos!W18)/Datos!W18," - ")</f>
        <v>0.1111111111111111</v>
      </c>
      <c r="I18" s="395">
        <f>IF(ISNUMBER((Tasas!C18-Datos!BE18)/Datos!BE18),(Tasas!C18-Datos!BE18)/Datos!BE18," - ")</f>
        <v>-0.28013370247822272</v>
      </c>
      <c r="J18" s="394">
        <f>IF(ISNUMBER((Tasas!D18-Datos!BF18)/Datos!BF18),(Tasas!D18-Datos!BF18)/Datos!BF18," - ")</f>
        <v>-0.35028248587570621</v>
      </c>
      <c r="K18" s="396">
        <f>IF(ISNUMBER((Tasas!E18-Datos!BG18)/Datos!BG18),(Tasas!E18-Datos!BG18)/Datos!BG18," - ")</f>
        <v>-0.21972987288135593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4.0625000000000001E-2</v>
      </c>
      <c r="E23" s="399">
        <f>IF(ISNUMBER(
   IF(D_I="SI",(Datos!J23-Datos!T23)/Datos!T23,(Datos!J23+Datos!AD23-(Datos!T23+Datos!AL23))/(Datos!T23+Datos!AL23))
     ),IF(D_I="SI",(Datos!J23-Datos!T23)/Datos!T23,(Datos!J23+Datos!AD23-(Datos!T23+Datos!AL23))/(Datos!T23+Datos!AL23))," - ")</f>
        <v>0.2337748344370861</v>
      </c>
      <c r="F23" s="399">
        <f>IF(ISNUMBER(
   IF(D_I="SI",(Datos!K23-Datos!U23)/Datos!U23,(Datos!K23+Datos!AE23-(Datos!U23+Datos!AM23))/(Datos!U23+Datos!AM23))
     ),IF(D_I="SI",(Datos!K23-Datos!U23)/Datos!U23,(Datos!K23+Datos!AE23-(Datos!U23+Datos!AM23))/(Datos!U23+Datos!AM23))," - ")</f>
        <v>0.38007117437722421</v>
      </c>
      <c r="G23" s="400">
        <f>IF(ISNUMBER(
   IF(D_I="SI",(Datos!L23-Datos!V23)/Datos!V23,(Datos!L23+Datos!AF23-(Datos!V23+Datos!AN23))/(Datos!V23+Datos!AN23))
     ),IF(D_I="SI",(Datos!L23-Datos!V23)/Datos!V23,(Datos!L23+Datos!AF23-(Datos!V23+Datos!AN23))/(Datos!V23+Datos!AN23))," - ")</f>
        <v>-4.7379454926624737E-2</v>
      </c>
      <c r="H23" s="401">
        <f>IF(ISNUMBER((Datos!M23-Datos!W23)/Datos!W23),(Datos!M23-Datos!W23)/Datos!W23," - ")</f>
        <v>4.4444444444444446E-2</v>
      </c>
      <c r="I23" s="402">
        <f>IF(ISNUMBER((Tasas!C23-Datos!BE23)/Datos!BE23),(Tasas!C23-Datos!BE23)/Datos!BE23," - ")</f>
        <v>-0.30973085826297464</v>
      </c>
      <c r="J23" s="400">
        <f>IF(ISNUMBER((Tasas!D23-Datos!BF23)/Datos!BF23),(Tasas!D23-Datos!BF23)/Datos!BF23," - ")</f>
        <v>-0.24319523236490748</v>
      </c>
      <c r="K23" s="403">
        <f>IF(ISNUMBER((Tasas!E23-Datos!BG23)/Datos!BG23),(Tasas!E23-Datos!BG23)/Datos!BG23," - ")</f>
        <v>-0.1896070139247035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2.4159257827599537E-2</v>
      </c>
      <c r="E31" s="409">
        <f>IF(ISNUMBER(
   IF(J_V="SI",(Datos!J31-Datos!T31)/Datos!T31,(Datos!J31+Datos!Z31-(Datos!T31+Datos!AH31))/(Datos!T31+Datos!AH31))
     ),IF(J_V="SI",(Datos!J31-Datos!T31)/Datos!T31,(Datos!J31+Datos!Z31-(Datos!T31+Datos!AH31))/(Datos!T31+Datos!AH31))," - ")</f>
        <v>9.9933377748167893E-2</v>
      </c>
      <c r="F31" s="409">
        <f>IF(ISNUMBER(
   IF(J_V="SI",(Datos!K31-Datos!U31)/Datos!U31,(Datos!K31+Datos!AA31-(Datos!U31+Datos!AI31))/(Datos!U31+Datos!AI31))
     ),IF(J_V="SI",(Datos!K31-Datos!U31)/Datos!U31,(Datos!K31+Datos!AA31-(Datos!U31+Datos!AI31))/(Datos!U31+Datos!AI31))," - ")</f>
        <v>7.937584803256445E-2</v>
      </c>
      <c r="G31" s="410">
        <f>IF(ISNUMBER(
   IF(J_V="SI",(Datos!L31-Datos!V31)/Datos!V31,(Datos!L31+Datos!AB31-(Datos!V31+Datos!AJ31))/(Datos!V31+Datos!AJ31))
     ),IF(J_V="SI",(Datos!L31-Datos!V31)/Datos!V31,(Datos!L31+Datos!AB31-(Datos!V31+Datos!AJ31))/(Datos!V31+Datos!AJ31))," - ")</f>
        <v>3.2405642394205111E-2</v>
      </c>
      <c r="H31" s="411">
        <f>IF(ISNUMBER((Datos!M31-Datos!W31)/Datos!W31),(Datos!M31-Datos!W31)/Datos!W31," - ")</f>
        <v>-0.43946188340807174</v>
      </c>
      <c r="I31" s="408">
        <f>IF(ISNUMBER((Tasas!C31-Datos!BE31)/Datos!BE31),(Tasas!C31-Datos!BE31)/Datos!BE31," - ")</f>
        <v>-4.3516079893740879E-2</v>
      </c>
      <c r="J31" s="409">
        <f>IF(ISNUMBER((Tasas!D31-Datos!BF31)/Datos!BF31),(Tasas!D31-Datos!BF31)/Datos!BF31," - ")</f>
        <v>-6.7946332931593453E-2</v>
      </c>
      <c r="K31" s="410">
        <f>IF(ISNUMBER((Tasas!E31-Datos!BG31)/Datos!BG31),(Tasas!E31-Datos!BG31)/Datos!BG31," - ")</f>
        <v>-2.537988883162498E-2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0.17587971170232025</v>
      </c>
      <c r="E33" s="303">
        <f t="shared" si="1"/>
        <v>0.1430138946816136</v>
      </c>
      <c r="F33" s="303">
        <f t="shared" si="1"/>
        <v>0.45844698056798483</v>
      </c>
      <c r="G33" s="304">
        <f t="shared" si="1"/>
        <v>0.13991966615432067</v>
      </c>
      <c r="H33" s="310">
        <f t="shared" si="1"/>
        <v>0.4122597983440533</v>
      </c>
      <c r="I33" s="302">
        <f t="shared" si="1"/>
        <v>0.44090070888391986</v>
      </c>
      <c r="J33" s="303">
        <f t="shared" si="1"/>
        <v>0.38119492164547586</v>
      </c>
      <c r="K33" s="304">
        <f t="shared" si="1"/>
        <v>0.33356454762365906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sNJxK7QN1aXjVlPSstWTyWQnghKpgujrZCvamOiqlE4rNigls2A7iEWiTlsH9djyyUTTBeTgIbAF57K9+MSXw==" saltValue="VHzx3ojCCCvYtjhJaW+qD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